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háng 2023\Sơ kết 2023\Báo cáo sơ kết 2023\"/>
    </mc:Choice>
  </mc:AlternateContent>
  <bookViews>
    <workbookView xWindow="0" yWindow="1920" windowWidth="16605" windowHeight="5235" firstSheet="1" activeTab="4"/>
  </bookViews>
  <sheets>
    <sheet name="Kangatang" sheetId="16" state="veryHidden" r:id="rId1"/>
    <sheet name="Chi tieu " sheetId="17" r:id="rId2"/>
    <sheet name="KCB chung" sheetId="15" r:id="rId3"/>
    <sheet name="KCB người nghèo" sheetId="9" r:id="rId4"/>
    <sheet name="KCB TE &lt; 6 tuổi" sheetId="10" r:id="rId5"/>
    <sheet name="Ước 12 tháng (ước t11,t12)" sheetId="14" state="hidden" r:id="rId6"/>
  </sheets>
  <externalReferences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G67" i="17" l="1"/>
  <c r="G65" i="17"/>
  <c r="G61" i="17" l="1"/>
  <c r="H71" i="17" l="1"/>
  <c r="H70" i="17"/>
  <c r="H69" i="17"/>
  <c r="H68" i="17"/>
  <c r="H67" i="17"/>
  <c r="H66" i="17"/>
  <c r="G66" i="17"/>
  <c r="H65" i="17"/>
  <c r="H64" i="17"/>
  <c r="H63" i="17"/>
  <c r="G63" i="17"/>
  <c r="F63" i="17"/>
  <c r="H62" i="17"/>
  <c r="G62" i="17"/>
  <c r="F62" i="17"/>
  <c r="H61" i="17"/>
  <c r="F61" i="17"/>
  <c r="H60" i="17"/>
  <c r="H59" i="17"/>
  <c r="H58" i="17"/>
  <c r="H57" i="17"/>
  <c r="G57" i="17"/>
  <c r="F57" i="17"/>
  <c r="D57" i="17"/>
  <c r="H56" i="17"/>
  <c r="G56" i="17"/>
  <c r="F56" i="17"/>
  <c r="D56" i="17"/>
  <c r="G55" i="17"/>
  <c r="F55" i="17"/>
  <c r="E55" i="17"/>
  <c r="D55" i="17"/>
  <c r="H54" i="17"/>
  <c r="H53" i="17"/>
  <c r="H55" i="17" s="1"/>
  <c r="H51" i="17"/>
  <c r="G51" i="17"/>
  <c r="F51" i="17"/>
  <c r="H50" i="17"/>
  <c r="G50" i="17"/>
  <c r="F50" i="17"/>
  <c r="G49" i="17"/>
  <c r="E49" i="17"/>
  <c r="H49" i="17" s="1"/>
  <c r="G47" i="17"/>
  <c r="E47" i="17"/>
  <c r="H47" i="17" s="1"/>
  <c r="H46" i="17"/>
  <c r="H45" i="17"/>
  <c r="H44" i="17"/>
  <c r="E38" i="17"/>
  <c r="H36" i="17"/>
  <c r="G36" i="17"/>
  <c r="G42" i="17" s="1"/>
  <c r="F36" i="17"/>
  <c r="E36" i="17"/>
  <c r="E42" i="17" s="1"/>
  <c r="H26" i="17"/>
  <c r="G26" i="17"/>
  <c r="F26" i="17"/>
  <c r="E26" i="17"/>
  <c r="H23" i="17"/>
  <c r="H22" i="17"/>
  <c r="H20" i="17"/>
  <c r="H19" i="17"/>
  <c r="H16" i="17"/>
  <c r="H15" i="17"/>
  <c r="H12" i="17"/>
  <c r="H11" i="17"/>
  <c r="H42" i="17" s="1"/>
  <c r="G11" i="17"/>
  <c r="G68" i="17" s="1"/>
  <c r="F11" i="17"/>
  <c r="F67" i="17" s="1"/>
  <c r="E11" i="17"/>
  <c r="D11" i="17"/>
  <c r="D68" i="17" s="1"/>
  <c r="F41" i="17" l="1"/>
  <c r="H41" i="17"/>
  <c r="F42" i="17"/>
  <c r="D65" i="17"/>
  <c r="D66" i="17"/>
  <c r="D67" i="17"/>
  <c r="E41" i="17"/>
  <c r="G41" i="17"/>
  <c r="F47" i="17"/>
  <c r="F49" i="17"/>
  <c r="F65" i="17"/>
  <c r="F66" i="17"/>
  <c r="F21" i="10" l="1"/>
  <c r="BC9" i="15" l="1"/>
  <c r="BC10" i="15"/>
  <c r="BC11" i="15"/>
  <c r="BC12" i="15"/>
  <c r="BC14" i="15"/>
  <c r="BC15" i="15"/>
  <c r="BC16" i="15"/>
  <c r="BC17" i="15"/>
  <c r="BC18" i="15"/>
  <c r="BC19" i="15"/>
  <c r="BC21" i="15"/>
  <c r="D8" i="9" l="1"/>
  <c r="K8" i="9"/>
  <c r="L8" i="9"/>
  <c r="M8" i="9"/>
  <c r="N8" i="9"/>
  <c r="O8" i="9"/>
  <c r="P8" i="9"/>
  <c r="Q8" i="9"/>
  <c r="R8" i="9"/>
  <c r="S8" i="9"/>
  <c r="T8" i="9"/>
  <c r="U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O8" i="9"/>
  <c r="AP8" i="9"/>
  <c r="AQ8" i="9"/>
  <c r="AR8" i="9"/>
  <c r="AS8" i="9"/>
  <c r="AT8" i="9"/>
  <c r="C8" i="9"/>
  <c r="AM21" i="10" l="1"/>
  <c r="AN21" i="10" s="1"/>
  <c r="V21" i="10"/>
  <c r="W21" i="10" s="1"/>
  <c r="E21" i="10"/>
  <c r="AM21" i="9"/>
  <c r="AN21" i="9" s="1"/>
  <c r="V21" i="9"/>
  <c r="W21" i="9" s="1"/>
  <c r="E21" i="9"/>
  <c r="F21" i="9" s="1"/>
  <c r="W21" i="15"/>
  <c r="X21" i="15" s="1"/>
  <c r="G21" i="15"/>
  <c r="H21" i="15" s="1"/>
  <c r="BD11" i="15" l="1"/>
  <c r="BD17" i="15" l="1"/>
  <c r="BD18" i="15"/>
  <c r="BD15" i="15"/>
  <c r="BD16" i="15"/>
  <c r="BD10" i="15"/>
  <c r="AM10" i="10"/>
  <c r="AN10" i="10" s="1"/>
  <c r="V10" i="10"/>
  <c r="W10" i="10" s="1"/>
  <c r="E10" i="10"/>
  <c r="F10" i="10" s="1"/>
  <c r="AM10" i="9"/>
  <c r="AN10" i="9" s="1"/>
  <c r="V10" i="9"/>
  <c r="W10" i="9" s="1"/>
  <c r="E10" i="9"/>
  <c r="F10" i="9" s="1"/>
  <c r="BH10" i="15"/>
  <c r="AM10" i="15"/>
  <c r="AN10" i="15" s="1"/>
  <c r="X10" i="15"/>
  <c r="W10" i="15"/>
  <c r="BE10" i="15" s="1"/>
  <c r="AM19" i="15"/>
  <c r="AN19" i="15" s="1"/>
  <c r="W19" i="15"/>
  <c r="X19" i="15" s="1"/>
  <c r="W20" i="15"/>
  <c r="X20" i="15" s="1"/>
  <c r="G19" i="15"/>
  <c r="H19" i="15" s="1"/>
  <c r="AM19" i="9"/>
  <c r="AN19" i="9" s="1"/>
  <c r="V19" i="9"/>
  <c r="W19" i="9" s="1"/>
  <c r="E19" i="9"/>
  <c r="F19" i="9" s="1"/>
  <c r="AM19" i="10"/>
  <c r="AN19" i="10" s="1"/>
  <c r="V19" i="10"/>
  <c r="W19" i="10" s="1"/>
  <c r="E19" i="10"/>
  <c r="F19" i="10" s="1"/>
  <c r="BH11" i="15" l="1"/>
  <c r="BH12" i="15"/>
  <c r="BH18" i="15"/>
  <c r="AM11" i="10" l="1"/>
  <c r="AN11" i="10" s="1"/>
  <c r="V11" i="10"/>
  <c r="W11" i="10" s="1"/>
  <c r="E11" i="10"/>
  <c r="F11" i="10" s="1"/>
  <c r="AM11" i="9"/>
  <c r="AN11" i="9" s="1"/>
  <c r="V11" i="9"/>
  <c r="W11" i="9" s="1"/>
  <c r="E11" i="9"/>
  <c r="F11" i="9" s="1"/>
  <c r="AM11" i="15"/>
  <c r="AN11" i="15" s="1"/>
  <c r="W11" i="15"/>
  <c r="BE11" i="15" s="1"/>
  <c r="G11" i="15"/>
  <c r="H11" i="15"/>
  <c r="AM15" i="10"/>
  <c r="AN15" i="10" s="1"/>
  <c r="V15" i="10"/>
  <c r="W15" i="10" s="1"/>
  <c r="E15" i="10"/>
  <c r="F15" i="10" s="1"/>
  <c r="AM15" i="9"/>
  <c r="AN15" i="9" s="1"/>
  <c r="V15" i="9"/>
  <c r="W15" i="9" s="1"/>
  <c r="E15" i="9"/>
  <c r="F15" i="9" s="1"/>
  <c r="BH15" i="15"/>
  <c r="AN15" i="15"/>
  <c r="AM15" i="15"/>
  <c r="X15" i="15"/>
  <c r="W15" i="15"/>
  <c r="BE15" i="15" s="1"/>
  <c r="G15" i="15"/>
  <c r="H15" i="15" s="1"/>
  <c r="BB15" i="10"/>
  <c r="BB16" i="10"/>
  <c r="BB17" i="10"/>
  <c r="BB18" i="10"/>
  <c r="BB19" i="10"/>
  <c r="BB20" i="10"/>
  <c r="BB21" i="10"/>
  <c r="BA15" i="10"/>
  <c r="BA16" i="10"/>
  <c r="BA17" i="10"/>
  <c r="BA18" i="10"/>
  <c r="BA19" i="10"/>
  <c r="BA20" i="10"/>
  <c r="BA21" i="10"/>
  <c r="BB15" i="9"/>
  <c r="BB16" i="9"/>
  <c r="BB17" i="9"/>
  <c r="BB18" i="9"/>
  <c r="BB19" i="9"/>
  <c r="BB20" i="9"/>
  <c r="BB21" i="9"/>
  <c r="BA15" i="9"/>
  <c r="BA16" i="9"/>
  <c r="BA17" i="9"/>
  <c r="BA18" i="9"/>
  <c r="BA19" i="9"/>
  <c r="BA20" i="9"/>
  <c r="BA21" i="9"/>
  <c r="BE19" i="15"/>
  <c r="BD19" i="15"/>
  <c r="BD21" i="15"/>
  <c r="BH21" i="15"/>
  <c r="AM20" i="10"/>
  <c r="AN20" i="10" s="1"/>
  <c r="V20" i="10"/>
  <c r="W20" i="10" s="1"/>
  <c r="E20" i="10"/>
  <c r="F20" i="10" s="1"/>
  <c r="AM20" i="9"/>
  <c r="AN20" i="9" s="1"/>
  <c r="V20" i="9"/>
  <c r="W20" i="9" s="1"/>
  <c r="E20" i="9"/>
  <c r="F20" i="9" s="1"/>
  <c r="BH20" i="15"/>
  <c r="BB20" i="15"/>
  <c r="AM20" i="15"/>
  <c r="AN20" i="15" s="1"/>
  <c r="G20" i="15"/>
  <c r="H20" i="15" s="1"/>
  <c r="BH19" i="15"/>
  <c r="AM18" i="10"/>
  <c r="AN18" i="10" s="1"/>
  <c r="V18" i="10"/>
  <c r="W18" i="10" s="1"/>
  <c r="E18" i="10"/>
  <c r="F18" i="10" s="1"/>
  <c r="AM18" i="9"/>
  <c r="AN18" i="9" s="1"/>
  <c r="V18" i="9"/>
  <c r="W18" i="9" s="1"/>
  <c r="E18" i="9"/>
  <c r="F18" i="9" s="1"/>
  <c r="AM18" i="15"/>
  <c r="AN18" i="15" s="1"/>
  <c r="W18" i="15"/>
  <c r="BE18" i="15" s="1"/>
  <c r="G18" i="15"/>
  <c r="H18" i="15" s="1"/>
  <c r="AN17" i="10"/>
  <c r="AM17" i="10"/>
  <c r="W17" i="10"/>
  <c r="V17" i="10"/>
  <c r="F17" i="10"/>
  <c r="E17" i="10"/>
  <c r="AN17" i="9"/>
  <c r="AM17" i="9"/>
  <c r="W17" i="9"/>
  <c r="V17" i="9"/>
  <c r="F17" i="9"/>
  <c r="E17" i="9"/>
  <c r="BH16" i="15"/>
  <c r="BH17" i="15"/>
  <c r="AM17" i="15"/>
  <c r="AN17" i="15" s="1"/>
  <c r="W17" i="15"/>
  <c r="BE17" i="15" s="1"/>
  <c r="G17" i="15"/>
  <c r="H17" i="15" s="1"/>
  <c r="AM16" i="10"/>
  <c r="AN16" i="10" s="1"/>
  <c r="V16" i="10"/>
  <c r="W16" i="10" s="1"/>
  <c r="E16" i="10"/>
  <c r="F16" i="10" s="1"/>
  <c r="AM16" i="9"/>
  <c r="AN16" i="9" s="1"/>
  <c r="V16" i="9"/>
  <c r="W16" i="9" s="1"/>
  <c r="E16" i="9"/>
  <c r="F16" i="9" s="1"/>
  <c r="AM16" i="15"/>
  <c r="AN16" i="15" s="1"/>
  <c r="W16" i="15"/>
  <c r="BE16" i="15" s="1"/>
  <c r="G16" i="15"/>
  <c r="H16" i="15" s="1"/>
  <c r="J9" i="10"/>
  <c r="I9" i="10"/>
  <c r="H9" i="10"/>
  <c r="G9" i="10"/>
  <c r="E9" i="10" s="1"/>
  <c r="F9" i="10" s="1"/>
  <c r="J9" i="9"/>
  <c r="J8" i="9" s="1"/>
  <c r="I9" i="9"/>
  <c r="I8" i="9" s="1"/>
  <c r="H9" i="9"/>
  <c r="H8" i="9" s="1"/>
  <c r="G9" i="9"/>
  <c r="G8" i="9" s="1"/>
  <c r="L9" i="15"/>
  <c r="K9" i="15"/>
  <c r="J9" i="15"/>
  <c r="I9" i="15"/>
  <c r="I8" i="15" s="1"/>
  <c r="I7" i="15" s="1"/>
  <c r="E9" i="9"/>
  <c r="J8" i="15"/>
  <c r="L8" i="15"/>
  <c r="G9" i="15"/>
  <c r="H9" i="15" s="1"/>
  <c r="BF14" i="15"/>
  <c r="BF13" i="15" s="1"/>
  <c r="BH13" i="15" s="1"/>
  <c r="AT13" i="15"/>
  <c r="AQ13" i="15"/>
  <c r="AP13" i="15"/>
  <c r="AM14" i="15"/>
  <c r="BD14" i="15"/>
  <c r="W14" i="15"/>
  <c r="AM14" i="9"/>
  <c r="AN14" i="9" s="1"/>
  <c r="AN14" i="15"/>
  <c r="U13" i="10"/>
  <c r="D13" i="10"/>
  <c r="AL13" i="9"/>
  <c r="AL7" i="9" s="1"/>
  <c r="E14" i="9"/>
  <c r="F14" i="9" s="1"/>
  <c r="F13" i="15"/>
  <c r="K13" i="15"/>
  <c r="Z13" i="15"/>
  <c r="G14" i="15"/>
  <c r="BB8" i="15"/>
  <c r="AM9" i="15"/>
  <c r="AM12" i="15"/>
  <c r="AK8" i="15"/>
  <c r="AN12" i="15"/>
  <c r="G12" i="15"/>
  <c r="H12" i="15" s="1"/>
  <c r="E12" i="9"/>
  <c r="F12" i="9" s="1"/>
  <c r="V9" i="9"/>
  <c r="V14" i="9"/>
  <c r="W14" i="9" s="1"/>
  <c r="AM9" i="9"/>
  <c r="AM12" i="9"/>
  <c r="AN12" i="9" s="1"/>
  <c r="AM9" i="10"/>
  <c r="AN9" i="10" s="1"/>
  <c r="AM12" i="10"/>
  <c r="AN12" i="10" s="1"/>
  <c r="AK8" i="10"/>
  <c r="AM14" i="10"/>
  <c r="AN14" i="10" s="1"/>
  <c r="AK13" i="10"/>
  <c r="V9" i="10"/>
  <c r="W9" i="10" s="1"/>
  <c r="V12" i="10"/>
  <c r="W12" i="10" s="1"/>
  <c r="T8" i="10"/>
  <c r="V14" i="10"/>
  <c r="V13" i="10" s="1"/>
  <c r="W13" i="10" s="1"/>
  <c r="T13" i="10"/>
  <c r="E12" i="10"/>
  <c r="F12" i="10" s="1"/>
  <c r="C8" i="10"/>
  <c r="E14" i="10"/>
  <c r="E13" i="10" s="1"/>
  <c r="C13" i="10"/>
  <c r="AP13" i="9"/>
  <c r="AP7" i="9" s="1"/>
  <c r="AQ13" i="9"/>
  <c r="AQ7" i="9" s="1"/>
  <c r="AR13" i="9"/>
  <c r="AR7" i="9" s="1"/>
  <c r="AS13" i="9"/>
  <c r="AS7" i="9" s="1"/>
  <c r="AT13" i="9"/>
  <c r="AT7" i="9" s="1"/>
  <c r="AU13" i="9"/>
  <c r="AU7" i="9"/>
  <c r="AV13" i="9"/>
  <c r="AV7" i="9"/>
  <c r="AW13" i="9"/>
  <c r="AW7" i="9"/>
  <c r="AX13" i="9"/>
  <c r="AX7" i="9"/>
  <c r="AY13" i="9"/>
  <c r="AY7" i="9"/>
  <c r="AZ13" i="9"/>
  <c r="AZ7" i="9"/>
  <c r="Y13" i="9"/>
  <c r="Y7" i="9" s="1"/>
  <c r="Z13" i="9"/>
  <c r="Z7" i="9" s="1"/>
  <c r="AA13" i="9"/>
  <c r="AA7" i="9" s="1"/>
  <c r="AB13" i="9"/>
  <c r="AB7" i="9" s="1"/>
  <c r="AC13" i="9"/>
  <c r="AC7" i="9" s="1"/>
  <c r="AD13" i="9"/>
  <c r="AD7" i="9" s="1"/>
  <c r="AE13" i="9"/>
  <c r="AE7" i="9" s="1"/>
  <c r="AF13" i="9"/>
  <c r="AF7" i="9" s="1"/>
  <c r="AG13" i="9"/>
  <c r="AG7" i="9" s="1"/>
  <c r="AH13" i="9"/>
  <c r="AH7" i="9" s="1"/>
  <c r="AI13" i="9"/>
  <c r="AI7" i="9" s="1"/>
  <c r="AJ13" i="9"/>
  <c r="AJ7" i="9" s="1"/>
  <c r="AK13" i="9"/>
  <c r="AK7" i="9" s="1"/>
  <c r="V12" i="9"/>
  <c r="W12" i="9" s="1"/>
  <c r="U13" i="9"/>
  <c r="U7" i="9" s="1"/>
  <c r="H13" i="9"/>
  <c r="H7" i="9" s="1"/>
  <c r="I13" i="9"/>
  <c r="I7" i="9" s="1"/>
  <c r="J13" i="9"/>
  <c r="J7" i="9" s="1"/>
  <c r="K13" i="9"/>
  <c r="K7" i="9" s="1"/>
  <c r="L13" i="9"/>
  <c r="L7" i="9" s="1"/>
  <c r="M13" i="9"/>
  <c r="M7" i="9" s="1"/>
  <c r="N13" i="9"/>
  <c r="N7" i="9" s="1"/>
  <c r="O13" i="9"/>
  <c r="O7" i="9" s="1"/>
  <c r="P13" i="9"/>
  <c r="P7" i="9" s="1"/>
  <c r="Q13" i="9"/>
  <c r="Q7" i="9" s="1"/>
  <c r="R13" i="9"/>
  <c r="R7" i="9" s="1"/>
  <c r="AP8" i="15"/>
  <c r="AQ8" i="15"/>
  <c r="AR8" i="15"/>
  <c r="AR13" i="15"/>
  <c r="AS8" i="15"/>
  <c r="AS13" i="15"/>
  <c r="AT8" i="15"/>
  <c r="AT7" i="15" s="1"/>
  <c r="AU8" i="15"/>
  <c r="AU13" i="15"/>
  <c r="AU7" i="15" s="1"/>
  <c r="AV8" i="15"/>
  <c r="AV13" i="15"/>
  <c r="AV7" i="15" s="1"/>
  <c r="AW8" i="15"/>
  <c r="AW13" i="15"/>
  <c r="AW7" i="15" s="1"/>
  <c r="AX8" i="15"/>
  <c r="AX13" i="15"/>
  <c r="AX7" i="15" s="1"/>
  <c r="AY8" i="15"/>
  <c r="AY13" i="15"/>
  <c r="AY7" i="15" s="1"/>
  <c r="AZ8" i="15"/>
  <c r="AZ13" i="15"/>
  <c r="AZ7" i="15" s="1"/>
  <c r="Z8" i="15"/>
  <c r="AA8" i="15"/>
  <c r="AA13" i="15"/>
  <c r="AB8" i="15"/>
  <c r="AB13" i="15"/>
  <c r="AC8" i="15"/>
  <c r="AC13" i="15"/>
  <c r="AD8" i="15"/>
  <c r="AD13" i="15"/>
  <c r="AE8" i="15"/>
  <c r="AE7" i="15" s="1"/>
  <c r="AE13" i="15"/>
  <c r="AF8" i="15"/>
  <c r="AF13" i="15"/>
  <c r="AG8" i="15"/>
  <c r="AG13" i="15"/>
  <c r="AG7" i="15"/>
  <c r="AH8" i="15"/>
  <c r="AH13" i="15"/>
  <c r="AI8" i="15"/>
  <c r="AI13" i="15"/>
  <c r="AJ8" i="15"/>
  <c r="AJ13" i="15"/>
  <c r="AL13" i="15"/>
  <c r="AL8" i="15"/>
  <c r="W9" i="15"/>
  <c r="BE9" i="15"/>
  <c r="V13" i="15"/>
  <c r="V8" i="15"/>
  <c r="J13" i="15"/>
  <c r="K8" i="15"/>
  <c r="K7" i="15" s="1"/>
  <c r="L13" i="15"/>
  <c r="M8" i="15"/>
  <c r="M13" i="15"/>
  <c r="N8" i="15"/>
  <c r="N13" i="15"/>
  <c r="O8" i="15"/>
  <c r="O13" i="15"/>
  <c r="P8" i="15"/>
  <c r="P13" i="15"/>
  <c r="Q8" i="15"/>
  <c r="Q13" i="15"/>
  <c r="R8" i="15"/>
  <c r="R13" i="15"/>
  <c r="S8" i="15"/>
  <c r="S13" i="15"/>
  <c r="T8" i="15"/>
  <c r="T13" i="15"/>
  <c r="F8" i="15"/>
  <c r="I13" i="15"/>
  <c r="BD12" i="15"/>
  <c r="BD9" i="15"/>
  <c r="W12" i="15"/>
  <c r="BE12" i="15" s="1"/>
  <c r="BB8" i="10"/>
  <c r="BB9" i="10"/>
  <c r="BB10" i="10"/>
  <c r="BB11" i="10"/>
  <c r="BB12" i="10"/>
  <c r="BB13" i="10"/>
  <c r="BB14" i="10"/>
  <c r="BA8" i="10"/>
  <c r="BA9" i="10"/>
  <c r="BA10" i="10"/>
  <c r="BA11" i="10"/>
  <c r="BA12" i="10"/>
  <c r="BA13" i="10"/>
  <c r="BA14" i="10"/>
  <c r="BB7" i="10"/>
  <c r="BA7" i="10"/>
  <c r="BB8" i="9"/>
  <c r="BB9" i="9"/>
  <c r="BB10" i="9"/>
  <c r="BB11" i="9"/>
  <c r="BB12" i="9"/>
  <c r="BB13" i="9"/>
  <c r="BB14" i="9"/>
  <c r="BA8" i="9"/>
  <c r="BA9" i="9"/>
  <c r="BA10" i="9"/>
  <c r="BA11" i="9"/>
  <c r="BA12" i="9"/>
  <c r="BA13" i="9"/>
  <c r="BA14" i="9"/>
  <c r="BB7" i="9"/>
  <c r="BA7" i="9"/>
  <c r="BH9" i="15"/>
  <c r="BG13" i="15"/>
  <c r="D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U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AI13" i="10"/>
  <c r="AJ8" i="10"/>
  <c r="AL8" i="10"/>
  <c r="AO8" i="10"/>
  <c r="AP8" i="10"/>
  <c r="AQ8" i="10"/>
  <c r="AR8" i="10"/>
  <c r="AS8" i="10"/>
  <c r="G13" i="10"/>
  <c r="H13" i="10"/>
  <c r="I13" i="10"/>
  <c r="I7" i="10" s="1"/>
  <c r="J13" i="10"/>
  <c r="J7" i="10" s="1"/>
  <c r="K13" i="10"/>
  <c r="K7" i="10" s="1"/>
  <c r="L13" i="10"/>
  <c r="N13" i="10"/>
  <c r="N7" i="10" s="1"/>
  <c r="O13" i="10"/>
  <c r="P13" i="10"/>
  <c r="P7" i="10" s="1"/>
  <c r="Q13" i="10"/>
  <c r="R13" i="10"/>
  <c r="R7" i="10" s="1"/>
  <c r="S13" i="10"/>
  <c r="X13" i="10"/>
  <c r="Y13" i="10"/>
  <c r="Y7" i="10"/>
  <c r="Z13" i="10"/>
  <c r="AA13" i="10"/>
  <c r="AA7" i="10" s="1"/>
  <c r="AB13" i="10"/>
  <c r="AC13" i="10"/>
  <c r="AC7" i="10" s="1"/>
  <c r="AD13" i="10"/>
  <c r="AD7" i="10"/>
  <c r="AE13" i="10"/>
  <c r="AE7" i="10"/>
  <c r="AF13" i="10"/>
  <c r="AF7" i="10"/>
  <c r="AG13" i="10"/>
  <c r="AG7" i="10"/>
  <c r="AH13" i="10"/>
  <c r="AH7" i="10"/>
  <c r="AJ13" i="10"/>
  <c r="AJ7" i="10"/>
  <c r="AL13" i="10"/>
  <c r="AL7" i="10"/>
  <c r="AO13" i="10"/>
  <c r="AO7" i="10"/>
  <c r="AP13" i="10"/>
  <c r="AP7" i="10"/>
  <c r="AQ13" i="10"/>
  <c r="AQ7" i="10"/>
  <c r="AR13" i="10"/>
  <c r="AR7" i="10"/>
  <c r="AS13" i="10"/>
  <c r="AS7" i="10"/>
  <c r="D13" i="9"/>
  <c r="D7" i="9" s="1"/>
  <c r="G13" i="9"/>
  <c r="G7" i="9" s="1"/>
  <c r="S13" i="9"/>
  <c r="T13" i="9"/>
  <c r="T7" i="9" s="1"/>
  <c r="X13" i="9"/>
  <c r="X7" i="9" s="1"/>
  <c r="AO13" i="9"/>
  <c r="AO7" i="9" s="1"/>
  <c r="S7" i="9"/>
  <c r="C13" i="9"/>
  <c r="C7" i="9" s="1"/>
  <c r="U8" i="15"/>
  <c r="Y8" i="15"/>
  <c r="AO8" i="15"/>
  <c r="BF8" i="15"/>
  <c r="BH8" i="15" s="1"/>
  <c r="BG8" i="15"/>
  <c r="E8" i="15"/>
  <c r="D8" i="15"/>
  <c r="C8" i="15"/>
  <c r="AT8" i="10"/>
  <c r="AU8" i="10"/>
  <c r="AV8" i="10"/>
  <c r="AW8" i="10"/>
  <c r="AW7" i="10" s="1"/>
  <c r="AX8" i="10"/>
  <c r="AY8" i="10"/>
  <c r="AY7" i="10" s="1"/>
  <c r="AZ8" i="10"/>
  <c r="AT13" i="10"/>
  <c r="C13" i="15"/>
  <c r="C8" i="14"/>
  <c r="D8" i="14"/>
  <c r="E8" i="14"/>
  <c r="F8" i="14"/>
  <c r="F7" i="14" s="1"/>
  <c r="G8" i="14"/>
  <c r="G7" i="14" s="1"/>
  <c r="I8" i="14"/>
  <c r="J8" i="14"/>
  <c r="K8" i="14"/>
  <c r="L8" i="14"/>
  <c r="M8" i="14"/>
  <c r="N8" i="14"/>
  <c r="O8" i="14"/>
  <c r="P8" i="14"/>
  <c r="Q8" i="14"/>
  <c r="R8" i="14"/>
  <c r="U8" i="14"/>
  <c r="V8" i="14"/>
  <c r="W8" i="14"/>
  <c r="AE8" i="14"/>
  <c r="AF8" i="14"/>
  <c r="AG8" i="14"/>
  <c r="AH8" i="14"/>
  <c r="AL8" i="14"/>
  <c r="AM8" i="14"/>
  <c r="AO8" i="14"/>
  <c r="AP8" i="14"/>
  <c r="AQ8" i="14"/>
  <c r="AR8" i="14"/>
  <c r="AR7" i="14" s="1"/>
  <c r="AS8" i="14"/>
  <c r="AT8" i="14"/>
  <c r="AU8" i="14"/>
  <c r="AV8" i="14"/>
  <c r="AW8" i="14"/>
  <c r="AX8" i="14"/>
  <c r="BA8" i="14"/>
  <c r="S9" i="14"/>
  <c r="AI9" i="14"/>
  <c r="AY9" i="14"/>
  <c r="BB9" i="14"/>
  <c r="BF9" i="14" s="1"/>
  <c r="BC9" i="14"/>
  <c r="S10" i="14"/>
  <c r="T10" i="14"/>
  <c r="H10" i="14" s="1"/>
  <c r="Y10" i="14"/>
  <c r="Y8" i="14" s="1"/>
  <c r="Z10" i="14"/>
  <c r="Z8" i="14" s="1"/>
  <c r="AA10" i="14"/>
  <c r="AA8" i="14" s="1"/>
  <c r="AB10" i="14"/>
  <c r="AB8" i="14" s="1"/>
  <c r="AC10" i="14"/>
  <c r="AC8" i="14" s="1"/>
  <c r="AD10" i="14"/>
  <c r="AD8" i="14" s="1"/>
  <c r="AI10" i="14"/>
  <c r="AJ10" i="14"/>
  <c r="AK10" i="14" s="1"/>
  <c r="AK8" i="14" s="1"/>
  <c r="AY10" i="14"/>
  <c r="BB10" i="14"/>
  <c r="BC10" i="14" s="1"/>
  <c r="BD10" i="14"/>
  <c r="BF10" i="14"/>
  <c r="BH10" i="14"/>
  <c r="S11" i="14"/>
  <c r="AI11" i="14"/>
  <c r="AY11" i="14"/>
  <c r="AZ11" i="14" s="1"/>
  <c r="BC11" i="14"/>
  <c r="BD11" i="14"/>
  <c r="BE11" i="14"/>
  <c r="BF11" i="14"/>
  <c r="C12" i="14"/>
  <c r="D12" i="14"/>
  <c r="D7" i="14" s="1"/>
  <c r="E12" i="14"/>
  <c r="E7" i="14"/>
  <c r="F12" i="14"/>
  <c r="G12" i="14"/>
  <c r="N12" i="14"/>
  <c r="N7" i="14"/>
  <c r="O12" i="14"/>
  <c r="O7" i="14" s="1"/>
  <c r="P12" i="14"/>
  <c r="P7" i="14" s="1"/>
  <c r="S12" i="14"/>
  <c r="V12" i="14"/>
  <c r="W12" i="14"/>
  <c r="W7" i="14" s="1"/>
  <c r="AI12" i="14"/>
  <c r="AL12" i="14"/>
  <c r="AL7" i="14" s="1"/>
  <c r="AM12" i="14"/>
  <c r="AM7" i="14" s="1"/>
  <c r="AU12" i="14"/>
  <c r="AU7" i="14" s="1"/>
  <c r="AV12" i="14"/>
  <c r="AY12" i="14"/>
  <c r="H13" i="14"/>
  <c r="X13" i="14"/>
  <c r="AN13" i="14"/>
  <c r="BA13" i="14"/>
  <c r="BC13" i="14"/>
  <c r="BD13" i="14"/>
  <c r="BE13" i="14"/>
  <c r="BF13" i="14"/>
  <c r="I14" i="14"/>
  <c r="J14" i="14"/>
  <c r="K14" i="14"/>
  <c r="K12" i="14"/>
  <c r="L14" i="14"/>
  <c r="L12" i="14"/>
  <c r="L7" i="14" s="1"/>
  <c r="M14" i="14"/>
  <c r="M12" i="14"/>
  <c r="M7" i="14" s="1"/>
  <c r="X14" i="14"/>
  <c r="AD14" i="14"/>
  <c r="AO14" i="14"/>
  <c r="AP14" i="14"/>
  <c r="AP12" i="14"/>
  <c r="AP7" i="14" s="1"/>
  <c r="AQ14" i="14"/>
  <c r="AQ12" i="14" s="1"/>
  <c r="AQ7" i="14" s="1"/>
  <c r="AR14" i="14"/>
  <c r="AR12" i="14"/>
  <c r="AS14" i="14"/>
  <c r="AS12" i="14"/>
  <c r="AT14" i="14"/>
  <c r="AT12" i="14"/>
  <c r="BC14" i="14"/>
  <c r="BD14" i="14"/>
  <c r="BE14" i="14"/>
  <c r="BF14" i="14"/>
  <c r="H15" i="14"/>
  <c r="Y15" i="14"/>
  <c r="Y12" i="14" s="1"/>
  <c r="X12" i="14" s="1"/>
  <c r="AK12" i="14" s="1"/>
  <c r="AK7" i="14" s="1"/>
  <c r="Z15" i="14"/>
  <c r="Z12" i="14"/>
  <c r="AA15" i="14"/>
  <c r="AA12" i="14"/>
  <c r="AB15" i="14"/>
  <c r="AB12" i="14"/>
  <c r="AC15" i="14"/>
  <c r="AC12" i="14"/>
  <c r="AD15" i="14"/>
  <c r="AD12" i="14"/>
  <c r="AE15" i="14"/>
  <c r="AE12" i="14"/>
  <c r="AE7" i="14" s="1"/>
  <c r="AF15" i="14"/>
  <c r="AF12" i="14" s="1"/>
  <c r="AF7" i="14" s="1"/>
  <c r="AG15" i="14"/>
  <c r="AG12" i="14"/>
  <c r="AG7" i="14" s="1"/>
  <c r="AH15" i="14"/>
  <c r="AH12" i="14"/>
  <c r="AH7" i="14" s="1"/>
  <c r="AN15" i="14"/>
  <c r="BA15" i="14"/>
  <c r="BC15" i="14"/>
  <c r="BD15" i="14"/>
  <c r="BE15" i="14"/>
  <c r="BF15" i="14"/>
  <c r="Q16" i="14"/>
  <c r="Q12" i="14" s="1"/>
  <c r="R16" i="14"/>
  <c r="R12" i="14" s="1"/>
  <c r="R7" i="14" s="1"/>
  <c r="T16" i="14"/>
  <c r="T12" i="14"/>
  <c r="AG16" i="14"/>
  <c r="AH16" i="14"/>
  <c r="AJ16" i="14"/>
  <c r="AJ12" i="14" s="1"/>
  <c r="AW16" i="14"/>
  <c r="AX16" i="14"/>
  <c r="AX12" i="14" s="1"/>
  <c r="AX7" i="14" s="1"/>
  <c r="AZ16" i="14"/>
  <c r="BC16" i="14"/>
  <c r="BD16" i="14"/>
  <c r="BE16" i="14"/>
  <c r="BF16" i="14"/>
  <c r="BA17" i="14"/>
  <c r="BC17" i="14"/>
  <c r="BD17" i="14"/>
  <c r="BE17" i="14"/>
  <c r="BF17" i="14"/>
  <c r="H18" i="14"/>
  <c r="X18" i="14"/>
  <c r="AN18" i="14"/>
  <c r="BA18" i="14" s="1"/>
  <c r="BC18" i="14"/>
  <c r="BD18" i="14"/>
  <c r="BE18" i="14"/>
  <c r="BF18" i="14"/>
  <c r="H19" i="14"/>
  <c r="X19" i="14"/>
  <c r="AN19" i="14"/>
  <c r="BA19" i="14" s="1"/>
  <c r="BC19" i="14"/>
  <c r="BD19" i="14"/>
  <c r="BE19" i="14"/>
  <c r="BF19" i="14"/>
  <c r="H20" i="14"/>
  <c r="X20" i="14"/>
  <c r="AN20" i="14"/>
  <c r="BA20" i="14"/>
  <c r="BB20" i="14"/>
  <c r="AU13" i="10"/>
  <c r="AU7" i="10" s="1"/>
  <c r="AX13" i="10"/>
  <c r="AZ13" i="10"/>
  <c r="AV13" i="10"/>
  <c r="AW13" i="10"/>
  <c r="AY13" i="10"/>
  <c r="Y13" i="15"/>
  <c r="AK13" i="15"/>
  <c r="D13" i="15"/>
  <c r="D7" i="15" s="1"/>
  <c r="E13" i="15"/>
  <c r="U13" i="15"/>
  <c r="AZ12" i="14"/>
  <c r="I12" i="14"/>
  <c r="BE9" i="14"/>
  <c r="AY8" i="14"/>
  <c r="AY7" i="14" s="1"/>
  <c r="BB8" i="14"/>
  <c r="BF8" i="14" s="1"/>
  <c r="S8" i="14"/>
  <c r="S7" i="14" s="1"/>
  <c r="BE8" i="14"/>
  <c r="BC8" i="14"/>
  <c r="BD8" i="14"/>
  <c r="AO13" i="15"/>
  <c r="AO7" i="15" s="1"/>
  <c r="BC20" i="14"/>
  <c r="BF20" i="14"/>
  <c r="BB12" i="14"/>
  <c r="BD20" i="14"/>
  <c r="J12" i="14"/>
  <c r="J7" i="14" s="1"/>
  <c r="H14" i="14"/>
  <c r="AZ9" i="14"/>
  <c r="AN9" i="14"/>
  <c r="AJ11" i="14"/>
  <c r="X11" i="14"/>
  <c r="AJ9" i="14"/>
  <c r="X9" i="14" s="1"/>
  <c r="AI8" i="14"/>
  <c r="AI7" i="14"/>
  <c r="I7" i="14"/>
  <c r="BE20" i="14"/>
  <c r="AN14" i="14"/>
  <c r="AO12" i="14"/>
  <c r="AO7" i="14" s="1"/>
  <c r="T11" i="14"/>
  <c r="H11" i="14" s="1"/>
  <c r="AZ10" i="14"/>
  <c r="AN10" i="14"/>
  <c r="T9" i="14"/>
  <c r="T8" i="14"/>
  <c r="T7" i="14" s="1"/>
  <c r="AV7" i="14"/>
  <c r="AT7" i="14"/>
  <c r="K7" i="14"/>
  <c r="BD9" i="14"/>
  <c r="AS7" i="14"/>
  <c r="V7" i="14"/>
  <c r="C7" i="14"/>
  <c r="BA14" i="14"/>
  <c r="BC12" i="14"/>
  <c r="BD12" i="14"/>
  <c r="BB7" i="14"/>
  <c r="BE12" i="14"/>
  <c r="BF12" i="14"/>
  <c r="H9" i="14"/>
  <c r="H8" i="14" s="1"/>
  <c r="AJ8" i="14"/>
  <c r="AJ7" i="14" s="1"/>
  <c r="BF7" i="14"/>
  <c r="BE7" i="14"/>
  <c r="BC7" i="14"/>
  <c r="BD7" i="14"/>
  <c r="BB13" i="15"/>
  <c r="BC13" i="15" s="1"/>
  <c r="X12" i="15"/>
  <c r="AM13" i="9"/>
  <c r="AN13" i="9" s="1"/>
  <c r="X15" i="14"/>
  <c r="E13" i="9"/>
  <c r="M13" i="10"/>
  <c r="M7" i="10" s="1"/>
  <c r="W14" i="10"/>
  <c r="H14" i="15"/>
  <c r="X14" i="15"/>
  <c r="BE14" i="15"/>
  <c r="X9" i="15"/>
  <c r="V8" i="10"/>
  <c r="X18" i="15"/>
  <c r="X17" i="15"/>
  <c r="BE21" i="15"/>
  <c r="W13" i="15"/>
  <c r="AM8" i="15"/>
  <c r="AN9" i="15"/>
  <c r="BC8" i="15" l="1"/>
  <c r="BE20" i="15"/>
  <c r="BC20" i="15"/>
  <c r="G13" i="15"/>
  <c r="H13" i="15" s="1"/>
  <c r="W8" i="15"/>
  <c r="BH14" i="15"/>
  <c r="Z7" i="15"/>
  <c r="V13" i="9"/>
  <c r="V7" i="10"/>
  <c r="F13" i="10"/>
  <c r="AM13" i="10"/>
  <c r="AN13" i="10" s="1"/>
  <c r="Z7" i="10"/>
  <c r="S7" i="10"/>
  <c r="Q7" i="10"/>
  <c r="O7" i="10"/>
  <c r="F14" i="10"/>
  <c r="AN11" i="14"/>
  <c r="AN8" i="14" s="1"/>
  <c r="AZ8" i="14"/>
  <c r="AZ7" i="14" s="1"/>
  <c r="AD7" i="14"/>
  <c r="AB7" i="14"/>
  <c r="Z7" i="14"/>
  <c r="AZ7" i="10"/>
  <c r="AX7" i="10"/>
  <c r="AV7" i="10"/>
  <c r="AF7" i="15"/>
  <c r="W9" i="9"/>
  <c r="W8" i="9" s="1"/>
  <c r="V8" i="9"/>
  <c r="BD20" i="15"/>
  <c r="BE10" i="14"/>
  <c r="AC7" i="14"/>
  <c r="AA7" i="14"/>
  <c r="Y7" i="14"/>
  <c r="AN9" i="9"/>
  <c r="AM8" i="9"/>
  <c r="AM7" i="9" s="1"/>
  <c r="AN7" i="9" s="1"/>
  <c r="F9" i="9"/>
  <c r="F8" i="9" s="1"/>
  <c r="E8" i="9"/>
  <c r="E7" i="9" s="1"/>
  <c r="F7" i="9" s="1"/>
  <c r="X16" i="15"/>
  <c r="X11" i="15"/>
  <c r="AN8" i="9"/>
  <c r="X13" i="15"/>
  <c r="D7" i="10"/>
  <c r="AM21" i="15"/>
  <c r="AK7" i="15"/>
  <c r="J7" i="15"/>
  <c r="H16" i="14"/>
  <c r="AN16" i="14"/>
  <c r="AN12" i="14" s="1"/>
  <c r="X16" i="14"/>
  <c r="F7" i="15"/>
  <c r="AI7" i="10"/>
  <c r="AT7" i="10"/>
  <c r="W8" i="10"/>
  <c r="C7" i="10"/>
  <c r="Y7" i="15"/>
  <c r="T7" i="15"/>
  <c r="S7" i="15"/>
  <c r="R7" i="15"/>
  <c r="Q7" i="15"/>
  <c r="P7" i="15"/>
  <c r="O7" i="15"/>
  <c r="N7" i="15"/>
  <c r="M7" i="15"/>
  <c r="AJ7" i="15"/>
  <c r="AI7" i="15"/>
  <c r="AH7" i="15"/>
  <c r="AS7" i="15"/>
  <c r="AR7" i="15"/>
  <c r="AQ7" i="15"/>
  <c r="U7" i="15"/>
  <c r="AD7" i="15"/>
  <c r="AC7" i="15"/>
  <c r="AB7" i="15"/>
  <c r="AA7" i="15"/>
  <c r="X10" i="14"/>
  <c r="X8" i="14" s="1"/>
  <c r="X7" i="14" s="1"/>
  <c r="E7" i="15"/>
  <c r="C7" i="15"/>
  <c r="AP7" i="15"/>
  <c r="AL7" i="15"/>
  <c r="W7" i="15"/>
  <c r="V7" i="15"/>
  <c r="L7" i="15"/>
  <c r="BE13" i="15"/>
  <c r="W13" i="9"/>
  <c r="F13" i="9"/>
  <c r="AK7" i="10"/>
  <c r="AB7" i="10"/>
  <c r="X7" i="10"/>
  <c r="T7" i="10"/>
  <c r="W7" i="10" s="1"/>
  <c r="L7" i="10"/>
  <c r="G7" i="10"/>
  <c r="H7" i="10"/>
  <c r="U7" i="10"/>
  <c r="BD8" i="15"/>
  <c r="BB7" i="15"/>
  <c r="BC7" i="15" s="1"/>
  <c r="BG7" i="15"/>
  <c r="BF7" i="15"/>
  <c r="BD13" i="15"/>
  <c r="H12" i="14"/>
  <c r="Q7" i="14"/>
  <c r="BA16" i="14"/>
  <c r="AW12" i="14"/>
  <c r="AW7" i="14" s="1"/>
  <c r="E8" i="10"/>
  <c r="E7" i="10" s="1"/>
  <c r="AM8" i="10"/>
  <c r="AN8" i="15"/>
  <c r="BE8" i="15"/>
  <c r="G8" i="15"/>
  <c r="V7" i="9" l="1"/>
  <c r="W7" i="9" s="1"/>
  <c r="AN21" i="15"/>
  <c r="AM13" i="15"/>
  <c r="F8" i="10"/>
  <c r="F7" i="10"/>
  <c r="BD7" i="15"/>
  <c r="BE7" i="15"/>
  <c r="X7" i="15"/>
  <c r="BH7" i="15"/>
  <c r="AN7" i="14"/>
  <c r="BA12" i="14"/>
  <c r="BA7" i="14" s="1"/>
  <c r="U12" i="14"/>
  <c r="U7" i="14" s="1"/>
  <c r="H7" i="14"/>
  <c r="AN8" i="10"/>
  <c r="AM7" i="10"/>
  <c r="AN7" i="10" s="1"/>
  <c r="H8" i="15"/>
  <c r="G7" i="15"/>
  <c r="H7" i="15" s="1"/>
  <c r="AN13" i="15" l="1"/>
  <c r="AM7" i="15"/>
  <c r="AN7" i="15" s="1"/>
</calcChain>
</file>

<file path=xl/comments1.xml><?xml version="1.0" encoding="utf-8"?>
<comments xmlns="http://schemas.openxmlformats.org/spreadsheetml/2006/main">
  <authors>
    <author>WELCOME</author>
  </authors>
  <commentList>
    <comment ref="F71" authorId="0" shape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từ năm 2023 các đối tượng tham gia điều trị nghiện các chất dạng thuốc phiện bằng thuốc Methadone phải nộp 1 phần chi phí theo NQ 58 do vậy tỷ lệ bỏ trị ngày càng cao.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B3" authorId="0" shapeId="0">
      <text>
        <r>
          <rPr>
            <b/>
            <sz val="9"/>
            <color indexed="81"/>
            <rFont val="Tahoma"/>
            <family val="2"/>
          </rPr>
          <t xml:space="preserve">
Thực hiện 9 tháng
= Tổng ngày điều trị/ giường bệnh x 274 ngày
</t>
        </r>
      </text>
    </comment>
  </commentList>
</comments>
</file>

<file path=xl/comments3.xml><?xml version="1.0" encoding="utf-8"?>
<comments xmlns="http://schemas.openxmlformats.org/spreadsheetml/2006/main">
  <authors>
    <author>MyPC</author>
    <author>User</author>
  </authors>
  <commentList>
    <comment ref="BE3" authorId="0" shapeId="0">
      <text>
        <r>
          <rPr>
            <b/>
            <sz val="9"/>
            <color indexed="81"/>
            <rFont val="Tahoma"/>
            <family val="2"/>
            <charset val="163"/>
          </rPr>
          <t>MyPC:
10 tháng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BB9" authorId="0" shapeId="0">
      <text>
        <r>
          <rPr>
            <b/>
            <sz val="9"/>
            <color indexed="81"/>
            <rFont val="Tahoma"/>
            <family val="2"/>
            <charset val="163"/>
          </rPr>
          <t>MyPC:</t>
        </r>
        <r>
          <rPr>
            <sz val="9"/>
            <color indexed="81"/>
            <rFont val="Tahoma"/>
            <family val="2"/>
            <charset val="163"/>
          </rPr>
          <t xml:space="preserve">
129010: ươc 10 thang</t>
        </r>
      </text>
    </comment>
    <comment ref="BB10" authorId="0" shapeId="0">
      <text>
        <r>
          <rPr>
            <b/>
            <sz val="9"/>
            <color indexed="81"/>
            <rFont val="Tahoma"/>
            <family val="2"/>
            <charset val="163"/>
          </rPr>
          <t>MyPC:</t>
        </r>
        <r>
          <rPr>
            <sz val="9"/>
            <color indexed="81"/>
            <rFont val="Tahoma"/>
            <family val="2"/>
            <charset val="163"/>
          </rPr>
          <t xml:space="preserve">
18216: uoc 10 tháng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163"/>
          </rPr>
          <t>MyPC:</t>
        </r>
        <r>
          <rPr>
            <sz val="9"/>
            <color indexed="81"/>
            <rFont val="Tahoma"/>
            <family val="2"/>
            <charset val="163"/>
          </rPr>
          <t xml:space="preserve">
110</t>
        </r>
      </text>
    </comment>
    <comment ref="BB14" authorId="1" shapeId="0">
      <text>
        <r>
          <rPr>
            <b/>
            <sz val="9"/>
            <color indexed="81"/>
            <rFont val="Tahoma"/>
            <family val="2"/>
            <charset val="163"/>
          </rPr>
          <t xml:space="preserve">
Ước 5.900 lượt *6 ngày</t>
        </r>
      </text>
    </comment>
  </commentList>
</comments>
</file>

<file path=xl/sharedStrings.xml><?xml version="1.0" encoding="utf-8"?>
<sst xmlns="http://schemas.openxmlformats.org/spreadsheetml/2006/main" count="475" uniqueCount="177">
  <si>
    <t>Tuyến tỉnh</t>
  </si>
  <si>
    <t>BVĐK tỉnh</t>
  </si>
  <si>
    <t>BV LP</t>
  </si>
  <si>
    <t>BV YHCT</t>
  </si>
  <si>
    <t>Tuyến huyện</t>
  </si>
  <si>
    <t>TTYT Mường Tè</t>
  </si>
  <si>
    <t>TTYT Sìn Hồ</t>
  </si>
  <si>
    <t>TTYT Phong Thổ</t>
  </si>
  <si>
    <t>TTYT Tam Đường</t>
  </si>
  <si>
    <t>TTYT Than Uyên</t>
  </si>
  <si>
    <t>TTYT Tân Uyên</t>
  </si>
  <si>
    <t>I</t>
  </si>
  <si>
    <t>II</t>
  </si>
  <si>
    <t>KH</t>
  </si>
  <si>
    <t>%</t>
  </si>
  <si>
    <t>TTYT Nậm Nhùn</t>
  </si>
  <si>
    <t>TK</t>
  </si>
  <si>
    <t>Tổng cộng (I+II)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</si>
  <si>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</si>
  <si>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</si>
  <si>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</si>
  <si>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</si>
  <si>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</si>
  <si>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</si>
  <si>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</si>
  <si>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</si>
  <si>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</si>
  <si>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</si>
  <si>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</si>
  <si>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</si>
  <si>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 xml:space="preserve">TH </t>
  </si>
  <si>
    <t>Trong đó</t>
  </si>
  <si>
    <t>STT</t>
  </si>
  <si>
    <t>ĐƠN VỊ</t>
  </si>
  <si>
    <t>TỔNG SỐ LẦN KHÁM BỆNH</t>
  </si>
  <si>
    <t>KHÁM CHỮA BỆNH CHUNG</t>
  </si>
  <si>
    <t>ĐIỀU TRỊ NỘI TRÚ</t>
  </si>
  <si>
    <t>ĐIỀU TRỊ NGOẠI TRÚ</t>
  </si>
  <si>
    <t>CÔNG SUẤT SỬ DỤNG GB</t>
  </si>
  <si>
    <t>GIƯỜNG BỆNH</t>
  </si>
  <si>
    <t>Cùng kỳ năm trước</t>
  </si>
  <si>
    <t xml:space="preserve">Ghi chú: </t>
  </si>
  <si>
    <t>Cột cùng kỳ chỉ ghi số liệu 3 tháng, 6 tháng, 9 tháng và 12 tháng tương ứng với kỳ báo cáo</t>
  </si>
  <si>
    <t>So sánh cùng kỳ chỉ thực hiện báo cáo 3 tháng, 6 tháng, 9 tháng và 12 tháng</t>
  </si>
  <si>
    <t>KHÁM, CHỮA BỆNH NGƯỜI NGHÈO</t>
  </si>
  <si>
    <t>TỔNG SỐ LẦN KHÁM BỆNH NN</t>
  </si>
  <si>
    <t>ĐIỀU TRỊ NỘI TRÚ NN</t>
  </si>
  <si>
    <t>ĐIỀU TRỊ NGOẠI TRÚ NN</t>
  </si>
  <si>
    <t>KHÁM, CHỮA BỆNH TRẺ EM &lt; 6 TUỔI</t>
  </si>
  <si>
    <t>TỔNG SỐ LẦN KHÁM BỆNH TE &lt; 6 TUỔI</t>
  </si>
  <si>
    <t>ĐIỀU TRỊ NỘI TRÚ TE &lt; 6 TUỔI</t>
  </si>
  <si>
    <t>ĐIỀU TRỊ NGOẠI TRÚ TE &lt; 6 TUỔI</t>
  </si>
  <si>
    <t xml:space="preserve">SỐ NGÀY Đ/TRỊ NỘI TRÚ </t>
  </si>
  <si>
    <t>CÔNG SUẤT SD GIƯỜNG BỆNH KH</t>
  </si>
  <si>
    <t>CÔNG SUẤT SD GIƯỜNG BỆNH TK</t>
  </si>
  <si>
    <t>TTYTDP Thành phố</t>
  </si>
  <si>
    <t xml:space="preserve"> Riêng số điều trị nội trú và ngày điều trị nội trú không tính của trạm Y tế (Chỉ tính của Bệnh viện và PKĐKKV); Số ngày điều trị nội trú đề nghị đến thời điểm bao nhiêu tháng thì báo cáo số ngày cộng dồn của bấy nhiêu tháng.</t>
  </si>
  <si>
    <t>KHÁM CHỮA BỆNH CHUNG NĂM 2017</t>
  </si>
  <si>
    <t>Số ngày điều trị nội trú</t>
  </si>
  <si>
    <t>Công suất sử dụng giường bệnh TK</t>
  </si>
  <si>
    <t>Số Danh mục kỹ thuật thực hiện được</t>
  </si>
  <si>
    <t>Số Danh mục kỹ thuật được phê duyệt</t>
  </si>
  <si>
    <t>Đạt % thực hiện DMKT</t>
  </si>
  <si>
    <t>Ngày điều trị trung bình</t>
  </si>
  <si>
    <t>BV Phổi</t>
  </si>
  <si>
    <t>TTYT Thành phố</t>
  </si>
  <si>
    <t>Trung tâm KSBT</t>
  </si>
  <si>
    <t>Ngày điều trị cùng kỳ</t>
  </si>
  <si>
    <t>TỔNG SỐ LẦN KHÁM BỆNH 2023</t>
  </si>
  <si>
    <t>Đạt % năm 2023</t>
  </si>
  <si>
    <t>KHÁM CHỮA BỆNH CHUNG NĂM 2023</t>
  </si>
  <si>
    <t xml:space="preserve">Công suất sử dụng giường bệnh </t>
  </si>
  <si>
    <t>Biểu số 2</t>
  </si>
  <si>
    <t xml:space="preserve">Chỉ tiêu </t>
  </si>
  <si>
    <t xml:space="preserve">Đơn vị tính </t>
  </si>
  <si>
    <t>6 tháng năm 2022</t>
  </si>
  <si>
    <t>Năm 2023</t>
  </si>
  <si>
    <t>So sánh</t>
  </si>
  <si>
    <t>Nguyên nhân các chỉ tiêu đạt thấp so với cùng kỳ năm trước, hoặc thấp so với KH và dự kiến không đạt kế hoạch</t>
  </si>
  <si>
    <t>Ghi chú</t>
  </si>
  <si>
    <t>Kế hoạch</t>
  </si>
  <si>
    <t>TH 5 tháng đầu năm</t>
  </si>
  <si>
    <t>TH 6 tháng đầu năm</t>
  </si>
  <si>
    <t>Ước TH cả năm</t>
  </si>
  <si>
    <t xml:space="preserve">Ước TH 3,6,9 tháng năm 2019/TH 3,6,9 tháng năm trước </t>
  </si>
  <si>
    <t>Ước TH 3,6,9 tháng năm 2022/KH năm 2022</t>
  </si>
  <si>
    <t>A</t>
  </si>
  <si>
    <t>B</t>
  </si>
  <si>
    <t>C</t>
  </si>
  <si>
    <t>Dân số-Kế hoạch hóa gia đình</t>
  </si>
  <si>
    <t xml:space="preserve">  Dân số </t>
  </si>
  <si>
    <t xml:space="preserve"> - Dân số trung bình</t>
  </si>
  <si>
    <t>Người</t>
  </si>
  <si>
    <t xml:space="preserve"> Trong đó :  </t>
  </si>
  <si>
    <t xml:space="preserve">                + Dân số thành thị</t>
  </si>
  <si>
    <t xml:space="preserve">                + Dân số nông thôn</t>
  </si>
  <si>
    <t>- Tuổi thọ trung bình</t>
  </si>
  <si>
    <t>tuổi</t>
  </si>
  <si>
    <t xml:space="preserve"> - Dân số là dân tộc thiểu số </t>
  </si>
  <si>
    <t xml:space="preserve"> - Tỷ lệ tăng dân số</t>
  </si>
  <si>
    <t xml:space="preserve"> - Tỷ lệ giảm sinh</t>
  </si>
  <si>
    <r>
      <t>%</t>
    </r>
    <r>
      <rPr>
        <i/>
        <sz val="8"/>
        <rFont val="Times New Roman"/>
        <family val="1"/>
        <charset val="163"/>
      </rPr>
      <t>o</t>
    </r>
  </si>
  <si>
    <t xml:space="preserve"> - Tỷ lệ tăng dân số tự nhiên</t>
  </si>
  <si>
    <t>%o</t>
  </si>
  <si>
    <t xml:space="preserve"> - Tỷ số giới tính khi sinh (số bé trai so với 100 bé gái)</t>
  </si>
  <si>
    <t xml:space="preserve"> Kế hoạch hoá gia đình</t>
  </si>
  <si>
    <t xml:space="preserve">  - Tỷ lệ các cặp vợ chồng thực hiện các biện pháp tránh thai</t>
  </si>
  <si>
    <t xml:space="preserve"> - Tỷ lệ các bà mẹ sinh con thứ 3 trở lên so với tổng số bà mẹ sinh con trong năm</t>
  </si>
  <si>
    <t>Phát triển sự nghiệp y tế</t>
  </si>
  <si>
    <t>Cơ sở y tế và giường bệnh</t>
  </si>
  <si>
    <r>
      <t xml:space="preserve">Số cơ sở y tế quốc lập </t>
    </r>
    <r>
      <rPr>
        <vertAlign val="superscript"/>
        <sz val="8"/>
        <rFont val="Times New Roman"/>
        <family val="1"/>
        <charset val="163"/>
      </rPr>
      <t>(*)</t>
    </r>
  </si>
  <si>
    <t>cơ sở</t>
  </si>
  <si>
    <t>- Bệnh viện đa khoa tỉnh</t>
  </si>
  <si>
    <t>BV</t>
  </si>
  <si>
    <t>- Bệnh viện chuyên khoa</t>
  </si>
  <si>
    <t>- Trung tâm KSBT tỉnh</t>
  </si>
  <si>
    <t>TT</t>
  </si>
  <si>
    <t xml:space="preserve"> - Trung tâm y tế huyện/thành phố</t>
  </si>
  <si>
    <t>- Cơ sở 2 huyện Sìn Hồ</t>
  </si>
  <si>
    <t xml:space="preserve"> - Phòng khám đa khoa khu vực</t>
  </si>
  <si>
    <t>PK</t>
  </si>
  <si>
    <t xml:space="preserve"> - Trạm y tế xã/phường/thị trấn</t>
  </si>
  <si>
    <t>Trạm</t>
  </si>
  <si>
    <t xml:space="preserve">Tỷ lệ trạm y tế xã được xây dựng kiên cố </t>
  </si>
  <si>
    <t>Cơ sở y tế tư nhân</t>
  </si>
  <si>
    <t>Tổng số giường bệnh quốc lập toàn tỉnh</t>
  </si>
  <si>
    <t>Giường</t>
  </si>
  <si>
    <t>- Giường bệnh tuyến tỉnh</t>
  </si>
  <si>
    <t>- Giường bệnh tuyến huyện</t>
  </si>
  <si>
    <t>+ Giường bệnh tại Bệnh viện/Trung tâm y tế huyện</t>
  </si>
  <si>
    <t>+ Giường Phòng khám đa khoa khu vực</t>
  </si>
  <si>
    <t>Số giường bệnh/10.000 dân (không tính giường trạm y tế xã)</t>
  </si>
  <si>
    <t>Trong đó : Số giường bệnh quốc lập/ 1 vạn dân</t>
  </si>
  <si>
    <t xml:space="preserve"> Giường </t>
  </si>
  <si>
    <t>Nhân lực y tế</t>
  </si>
  <si>
    <t>Tổng số cán bộ toàn ngành</t>
  </si>
  <si>
    <t xml:space="preserve">Trong đó: </t>
  </si>
  <si>
    <t>1.1</t>
  </si>
  <si>
    <t>Bác sỹ</t>
  </si>
  <si>
    <t>Số bác sỹ/vạn dân</t>
  </si>
  <si>
    <t>1/10,000</t>
  </si>
  <si>
    <t>1.2</t>
  </si>
  <si>
    <t>Dược sỹ đại học</t>
  </si>
  <si>
    <t>Tỷ lệ dược sỹ/vạn dân</t>
  </si>
  <si>
    <t>Tỷ lệ Trạm y tế xã, phường, thị trấn có bác sỹ (biên chế tại trạm)</t>
  </si>
  <si>
    <t>Tỷ lệ thôn, bản có nhân viên y tế thôn bản hoạt động</t>
  </si>
  <si>
    <t>III</t>
  </si>
  <si>
    <t>Một số chỉ tiêu tổng hợp</t>
  </si>
  <si>
    <t xml:space="preserve"> Số xã đạt tiêu chí quốc gia về y tế xã</t>
  </si>
  <si>
    <t>Xã</t>
  </si>
  <si>
    <t>Trong đó: Số được công nhận mới trong năm</t>
  </si>
  <si>
    <t xml:space="preserve"> Tỷ lệ xã đạt tiêu chí quốc gia về y tế xã</t>
  </si>
  <si>
    <t xml:space="preserve"> Tỷ suất tử vong trẻ em &lt;1 tuổi trên 1.000 trẻ đẻ sống </t>
  </si>
  <si>
    <t xml:space="preserve"> %o </t>
  </si>
  <si>
    <t xml:space="preserve"> Tỷ suất tử vong trẻ em &lt;5 tuổi trên 1.000 trẻ đẻ sống </t>
  </si>
  <si>
    <t xml:space="preserve"> Tỷ lệ trẻ em dưới 5 tuổi bị suy dinh dưỡng (cân nặng theo tuổi) </t>
  </si>
  <si>
    <t xml:space="preserve"> % </t>
  </si>
  <si>
    <t xml:space="preserve"> Tỷ lệ trẻ em dưới 5 tuổi bị suy dinh dưỡng (cao theo tuổi) </t>
  </si>
  <si>
    <t xml:space="preserve"> Tỷ suất chết của người mẹ trong thời gian thai sản trên 100.000 trẻ đẻ sống </t>
  </si>
  <si>
    <t>1/1000,000</t>
  </si>
  <si>
    <t xml:space="preserve"> Tỷ lệ TE &lt; 1 tuổi được tiêm chủng đẩy đủ các loại Vacxin</t>
  </si>
  <si>
    <t>Chưa đạt tiến độ do thiếu vác xin từ Bộ Y tế</t>
  </si>
  <si>
    <t>Tỷ lệ phụ nữ đẻ được khám thai</t>
  </si>
  <si>
    <t>Tỷ lệ phụ nữ đẻ được cán bộ y tế đỡ</t>
  </si>
  <si>
    <t>Tỷ suất mắc các bệnh xã hội</t>
  </si>
  <si>
    <t xml:space="preserve"> - Sốt rét</t>
  </si>
  <si>
    <t xml:space="preserve"> - Lao</t>
  </si>
  <si>
    <t>1/100.000</t>
  </si>
  <si>
    <t xml:space="preserve"> - HIV/ AIDS</t>
  </si>
  <si>
    <t>Tỷ lệ bao phủ bảo hiểm y tế</t>
  </si>
  <si>
    <t>Tỷ lệ dân số được quản lý bằng hồ sơ sức khỏe điện tử</t>
  </si>
  <si>
    <t>Tỷ lệ hài lòng của người dân với dịch vụ y tế</t>
  </si>
  <si>
    <t>cuối năm mới đánh giá</t>
  </si>
  <si>
    <t>Điều trị thay thế các chất dạng thuốc phiện bằng Methadone</t>
  </si>
  <si>
    <t>các đối tượng tham gia điều trị phải đóng 1 phần chi phí do vậy các đối tượng bỏ hoặc tham gia không đầy đủ</t>
  </si>
  <si>
    <t xml:space="preserve">CÁC CHỈ TIÊU THỰC HIỆN TRONG BÁO CÁO  6 THÁNG </t>
  </si>
  <si>
    <t>(Kèm theo báo cáo số               /BC-SYT ngày        tháng 7 năm 2023 của Sở Y tế Lai Châu)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</si>
</sst>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₫_-;\-* #,##0.00\ _₫_-;_-* &quot;-&quot;??\ _₫_-;_-@_-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#,##0.0"/>
    <numFmt numFmtId="169" formatCode="_-* #,##0\ _₫_-;\-* #,##0\ _₫_-;_-* &quot;-&quot;??\ _₫_-;_-@_-"/>
    <numFmt numFmtId="170" formatCode="_-* #,##0.0\ _₫_-;\-* #,##0.0\ _₫_-;_-* &quot;-&quot;??\ _₫_-;_-@_-"/>
    <numFmt numFmtId="171" formatCode="#,##0.00;[Red]#,##0.00"/>
  </numFmts>
  <fonts count="66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0"/>
      <name val="Arial"/>
      <family val="2"/>
    </font>
    <font>
      <b/>
      <sz val="12"/>
      <color indexed="17"/>
      <name val="Times New Roman"/>
      <family val="1"/>
    </font>
    <font>
      <b/>
      <u val="singleAccounting"/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17"/>
      <name val="Times New Roman"/>
      <family val="1"/>
    </font>
    <font>
      <b/>
      <u val="singleAccounting"/>
      <sz val="12"/>
      <color indexed="16"/>
      <name val="Arial"/>
      <family val="2"/>
    </font>
    <font>
      <i/>
      <sz val="10"/>
      <color indexed="62"/>
      <name val="Times New Roman"/>
      <family val="1"/>
    </font>
    <font>
      <b/>
      <i/>
      <sz val="10"/>
      <color indexed="62"/>
      <name val="Times New Roman"/>
      <family val="1"/>
      <charset val="163"/>
    </font>
    <font>
      <i/>
      <sz val="10"/>
      <color indexed="62"/>
      <name val="Arial"/>
      <family val="2"/>
    </font>
    <font>
      <i/>
      <sz val="10"/>
      <color indexed="62"/>
      <name val="Times New Roman"/>
      <family val="1"/>
      <charset val="163"/>
    </font>
    <font>
      <i/>
      <sz val="12"/>
      <color indexed="62"/>
      <name val="Times New Roman"/>
      <family val="1"/>
      <charset val="163"/>
    </font>
    <font>
      <b/>
      <i/>
      <sz val="12"/>
      <color indexed="62"/>
      <name val="Times New Roman"/>
      <family val="1"/>
    </font>
    <font>
      <b/>
      <i/>
      <u val="singleAccounting"/>
      <sz val="12"/>
      <color indexed="62"/>
      <name val="Times New Roman"/>
      <family val="1"/>
    </font>
    <font>
      <b/>
      <i/>
      <u/>
      <sz val="12"/>
      <color indexed="62"/>
      <name val="Times New Roman"/>
      <family val="1"/>
      <charset val="163"/>
    </font>
    <font>
      <b/>
      <u val="singleAccounting"/>
      <sz val="12"/>
      <color indexed="62"/>
      <name val="Times New Roman"/>
      <family val="1"/>
    </font>
    <font>
      <b/>
      <i/>
      <u val="singleAccounting"/>
      <sz val="12"/>
      <color indexed="62"/>
      <name val="Arial"/>
      <family val="2"/>
    </font>
    <font>
      <b/>
      <i/>
      <u val="singleAccounting"/>
      <sz val="12"/>
      <color indexed="62"/>
      <name val="Times New Roman"/>
      <family val="1"/>
      <charset val="163"/>
    </font>
    <font>
      <sz val="12"/>
      <color indexed="8"/>
      <name val="Times New Roman"/>
      <family val="1"/>
    </font>
    <font>
      <b/>
      <i/>
      <u val="singleAccounting"/>
      <sz val="12"/>
      <name val="Times New Roman"/>
      <family val="1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b/>
      <i/>
      <u val="singleAccounting"/>
      <sz val="11"/>
      <color indexed="62"/>
      <name val="Times New Roman"/>
      <family val="1"/>
    </font>
    <font>
      <b/>
      <u val="singleAccounting"/>
      <sz val="11"/>
      <color indexed="16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u val="singleAccounting"/>
      <sz val="11"/>
      <name val="Times New Roman"/>
      <family val="1"/>
    </font>
    <font>
      <b/>
      <sz val="9"/>
      <color indexed="81"/>
      <name val="Tahoma"/>
      <family val="2"/>
    </font>
    <font>
      <b/>
      <i/>
      <u val="singleAccounting"/>
      <sz val="11"/>
      <name val="Times New Roman"/>
      <family val="1"/>
    </font>
    <font>
      <i/>
      <sz val="12"/>
      <color theme="3"/>
      <name val="Times New Roman"/>
      <family val="1"/>
      <charset val="163"/>
    </font>
    <font>
      <i/>
      <sz val="20"/>
      <color rgb="FFFF0000"/>
      <name val="Times New Roman"/>
      <family val="1"/>
      <charset val="163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u val="singleAccounting"/>
      <sz val="11"/>
      <color rgb="FF0070C0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  <charset val="163"/>
    </font>
    <font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0"/>
      <name val="Times New Roman"/>
      <family val="1"/>
      <charset val="163"/>
    </font>
    <font>
      <i/>
      <sz val="10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vertAlign val="superscript"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sz val="9"/>
      <name val="Times New Roman"/>
      <family val="1"/>
      <charset val="163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" fontId="51" fillId="0" borderId="0"/>
    <xf numFmtId="0" fontId="51" fillId="0" borderId="0"/>
    <xf numFmtId="0" fontId="51" fillId="0" borderId="0"/>
  </cellStyleXfs>
  <cellXfs count="415">
    <xf numFmtId="0" fontId="0" fillId="0" borderId="0" xfId="0"/>
    <xf numFmtId="0" fontId="5" fillId="2" borderId="0" xfId="0" applyFont="1" applyFill="1" applyProtection="1">
      <protection locked="0"/>
    </xf>
    <xf numFmtId="166" fontId="5" fillId="2" borderId="0" xfId="1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166" fontId="2" fillId="3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166" fontId="5" fillId="0" borderId="0" xfId="1" applyNumberFormat="1" applyFont="1" applyFill="1" applyAlignment="1" applyProtection="1">
      <alignment horizontal="center"/>
      <protection locked="0"/>
    </xf>
    <xf numFmtId="166" fontId="5" fillId="0" borderId="0" xfId="1" applyNumberFormat="1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166" fontId="14" fillId="0" borderId="0" xfId="1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2" fontId="18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166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2" xfId="1" applyNumberFormat="1" applyFont="1" applyFill="1" applyBorder="1" applyAlignment="1" applyProtection="1">
      <alignment horizontal="center" vertical="center"/>
      <protection locked="0"/>
    </xf>
    <xf numFmtId="165" fontId="10" fillId="0" borderId="3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Protection="1">
      <protection locked="0"/>
    </xf>
    <xf numFmtId="43" fontId="7" fillId="0" borderId="2" xfId="1" applyNumberFormat="1" applyFont="1" applyFill="1" applyBorder="1" applyAlignment="1" applyProtection="1">
      <alignment horizontal="center" vertical="center"/>
      <protection locked="0"/>
    </xf>
    <xf numFmtId="165" fontId="9" fillId="0" borderId="2" xfId="1" applyNumberFormat="1" applyFont="1" applyFill="1" applyBorder="1" applyAlignment="1" applyProtection="1">
      <alignment horizontal="center" vertical="center"/>
      <protection locked="0"/>
    </xf>
    <xf numFmtId="43" fontId="7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Protection="1">
      <protection locked="0"/>
    </xf>
    <xf numFmtId="166" fontId="5" fillId="2" borderId="0" xfId="1" applyNumberFormat="1" applyFont="1" applyFill="1" applyAlignment="1" applyProtection="1">
      <protection locked="0"/>
    </xf>
    <xf numFmtId="43" fontId="5" fillId="0" borderId="0" xfId="0" applyNumberFormat="1" applyFont="1" applyFill="1" applyAlignment="1" applyProtection="1">
      <protection locked="0"/>
    </xf>
    <xf numFmtId="43" fontId="5" fillId="0" borderId="0" xfId="0" applyNumberFormat="1" applyFont="1" applyFill="1" applyProtection="1">
      <protection locked="0"/>
    </xf>
    <xf numFmtId="166" fontId="5" fillId="2" borderId="0" xfId="1" applyNumberFormat="1" applyFont="1" applyFill="1" applyProtection="1">
      <protection locked="0"/>
    </xf>
    <xf numFmtId="166" fontId="5" fillId="0" borderId="0" xfId="1" applyNumberFormat="1" applyFont="1" applyFill="1" applyProtection="1">
      <protection locked="0"/>
    </xf>
    <xf numFmtId="43" fontId="5" fillId="0" borderId="0" xfId="0" applyNumberFormat="1" applyFont="1" applyFill="1" applyAlignment="1" applyProtection="1">
      <alignment horizontal="center"/>
      <protection locked="0"/>
    </xf>
    <xf numFmtId="43" fontId="3" fillId="0" borderId="0" xfId="0" applyNumberFormat="1" applyFont="1" applyFill="1" applyProtection="1">
      <protection locked="0"/>
    </xf>
    <xf numFmtId="166" fontId="3" fillId="2" borderId="0" xfId="1" applyNumberFormat="1" applyFont="1" applyFill="1" applyProtection="1">
      <protection locked="0"/>
    </xf>
    <xf numFmtId="166" fontId="3" fillId="0" borderId="0" xfId="1" applyNumberFormat="1" applyFont="1" applyFill="1" applyProtection="1">
      <protection locked="0"/>
    </xf>
    <xf numFmtId="165" fontId="22" fillId="0" borderId="2" xfId="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166" fontId="11" fillId="3" borderId="2" xfId="1" applyNumberFormat="1" applyFont="1" applyFill="1" applyBorder="1" applyAlignment="1" applyProtection="1">
      <alignment horizontal="center" vertical="center"/>
    </xf>
    <xf numFmtId="166" fontId="10" fillId="3" borderId="2" xfId="1" applyNumberFormat="1" applyFont="1" applyFill="1" applyBorder="1" applyAlignment="1" applyProtection="1">
      <alignment horizontal="center" vertical="center"/>
    </xf>
    <xf numFmtId="166" fontId="19" fillId="3" borderId="2" xfId="1" applyNumberFormat="1" applyFont="1" applyFill="1" applyBorder="1" applyAlignment="1" applyProtection="1">
      <alignment horizontal="center" vertical="center"/>
    </xf>
    <xf numFmtId="166" fontId="19" fillId="3" borderId="2" xfId="1" applyNumberFormat="1" applyFont="1" applyFill="1" applyBorder="1" applyAlignment="1" applyProtection="1">
      <alignment horizontal="left" vertical="center"/>
    </xf>
    <xf numFmtId="166" fontId="24" fillId="3" borderId="2" xfId="1" applyNumberFormat="1" applyFont="1" applyFill="1" applyBorder="1" applyAlignment="1" applyProtection="1">
      <alignment horizontal="center" vertical="center"/>
    </xf>
    <xf numFmtId="166" fontId="20" fillId="3" borderId="2" xfId="1" applyNumberFormat="1" applyFont="1" applyFill="1" applyBorder="1" applyAlignment="1" applyProtection="1">
      <alignment horizontal="center" vertical="center"/>
    </xf>
    <xf numFmtId="43" fontId="21" fillId="3" borderId="2" xfId="1" applyNumberFormat="1" applyFont="1" applyFill="1" applyBorder="1" applyAlignment="1" applyProtection="1">
      <alignment horizontal="center" vertical="center"/>
    </xf>
    <xf numFmtId="166" fontId="22" fillId="3" borderId="2" xfId="1" applyNumberFormat="1" applyFont="1" applyFill="1" applyBorder="1" applyAlignment="1" applyProtection="1">
      <alignment horizontal="center" vertical="center"/>
    </xf>
    <xf numFmtId="166" fontId="5" fillId="3" borderId="2" xfId="1" applyNumberFormat="1" applyFont="1" applyFill="1" applyBorder="1" applyAlignment="1" applyProtection="1">
      <alignment horizontal="center" vertical="center"/>
    </xf>
    <xf numFmtId="166" fontId="5" fillId="3" borderId="2" xfId="1" applyNumberFormat="1" applyFont="1" applyFill="1" applyBorder="1" applyAlignment="1" applyProtection="1">
      <alignment horizontal="left" vertical="center"/>
    </xf>
    <xf numFmtId="166" fontId="5" fillId="3" borderId="5" xfId="1" applyNumberFormat="1" applyFont="1" applyFill="1" applyBorder="1" applyAlignment="1" applyProtection="1">
      <alignment horizontal="center" vertical="center"/>
    </xf>
    <xf numFmtId="166" fontId="5" fillId="3" borderId="5" xfId="1" applyNumberFormat="1" applyFont="1" applyFill="1" applyBorder="1" applyAlignment="1" applyProtection="1">
      <alignment horizontal="left" vertical="center"/>
    </xf>
    <xf numFmtId="166" fontId="5" fillId="3" borderId="4" xfId="1" applyNumberFormat="1" applyFont="1" applyFill="1" applyBorder="1" applyAlignment="1" applyProtection="1">
      <alignment horizontal="left" vertical="center"/>
    </xf>
    <xf numFmtId="166" fontId="7" fillId="3" borderId="2" xfId="1" applyNumberFormat="1" applyFont="1" applyFill="1" applyBorder="1" applyAlignment="1" applyProtection="1">
      <alignment horizontal="center" vertical="center"/>
    </xf>
    <xf numFmtId="166" fontId="5" fillId="4" borderId="2" xfId="1" applyNumberFormat="1" applyFont="1" applyFill="1" applyBorder="1" applyAlignment="1" applyProtection="1">
      <alignment horizontal="center" vertical="center"/>
      <protection locked="0"/>
    </xf>
    <xf numFmtId="166" fontId="12" fillId="4" borderId="2" xfId="1" applyNumberFormat="1" applyFont="1" applyFill="1" applyBorder="1" applyAlignment="1" applyProtection="1">
      <alignment horizontal="center" vertical="center"/>
      <protection locked="0"/>
    </xf>
    <xf numFmtId="43" fontId="7" fillId="4" borderId="2" xfId="1" applyNumberFormat="1" applyFont="1" applyFill="1" applyBorder="1" applyAlignment="1" applyProtection="1">
      <alignment horizontal="center" vertical="center"/>
      <protection locked="0"/>
    </xf>
    <xf numFmtId="166" fontId="5" fillId="4" borderId="6" xfId="1" applyNumberFormat="1" applyFont="1" applyFill="1" applyBorder="1" applyProtection="1">
      <protection locked="0"/>
    </xf>
    <xf numFmtId="43" fontId="7" fillId="4" borderId="4" xfId="1" applyNumberFormat="1" applyFont="1" applyFill="1" applyBorder="1" applyAlignment="1" applyProtection="1">
      <alignment horizontal="center" vertical="center"/>
      <protection locked="0"/>
    </xf>
    <xf numFmtId="166" fontId="5" fillId="4" borderId="5" xfId="1" applyNumberFormat="1" applyFont="1" applyFill="1" applyBorder="1" applyAlignment="1" applyProtection="1">
      <alignment horizontal="center" vertical="center"/>
      <protection locked="0"/>
    </xf>
    <xf numFmtId="166" fontId="5" fillId="4" borderId="4" xfId="1" applyNumberFormat="1" applyFont="1" applyFill="1" applyBorder="1" applyAlignment="1" applyProtection="1">
      <alignment horizontal="center" vertical="center"/>
      <protection locked="0"/>
    </xf>
    <xf numFmtId="166" fontId="5" fillId="4" borderId="6" xfId="1" applyNumberFormat="1" applyFont="1" applyFill="1" applyBorder="1" applyAlignment="1" applyProtection="1">
      <alignment horizontal="center" vertical="center"/>
      <protection locked="0"/>
    </xf>
    <xf numFmtId="166" fontId="25" fillId="4" borderId="2" xfId="1" applyNumberFormat="1" applyFont="1" applyFill="1" applyBorder="1" applyAlignment="1" applyProtection="1">
      <alignment horizontal="center" vertical="center"/>
      <protection locked="0"/>
    </xf>
    <xf numFmtId="166" fontId="26" fillId="3" borderId="2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Fill="1" applyBorder="1" applyAlignment="1" applyProtection="1">
      <alignment horizontal="center" vertical="center"/>
      <protection locked="0"/>
    </xf>
    <xf numFmtId="165" fontId="2" fillId="0" borderId="4" xfId="1" applyNumberFormat="1" applyFont="1" applyFill="1" applyBorder="1" applyAlignment="1" applyProtection="1">
      <alignment horizontal="center" vertical="center"/>
      <protection locked="0"/>
    </xf>
    <xf numFmtId="166" fontId="39" fillId="5" borderId="0" xfId="1" applyNumberFormat="1" applyFont="1" applyFill="1" applyAlignment="1" applyProtection="1">
      <alignment horizontal="center"/>
      <protection locked="0"/>
    </xf>
    <xf numFmtId="0" fontId="39" fillId="5" borderId="0" xfId="0" applyFont="1" applyFill="1" applyProtection="1">
      <protection locked="0"/>
    </xf>
    <xf numFmtId="0" fontId="18" fillId="2" borderId="0" xfId="0" applyFont="1" applyFill="1" applyProtection="1">
      <protection locked="0"/>
    </xf>
    <xf numFmtId="166" fontId="39" fillId="5" borderId="7" xfId="1" applyNumberFormat="1" applyFont="1" applyFill="1" applyBorder="1" applyAlignment="1" applyProtection="1">
      <protection locked="0"/>
    </xf>
    <xf numFmtId="166" fontId="18" fillId="2" borderId="0" xfId="1" applyNumberFormat="1" applyFont="1" applyFill="1" applyAlignment="1" applyProtection="1">
      <alignment horizontal="center"/>
      <protection locked="0"/>
    </xf>
    <xf numFmtId="2" fontId="18" fillId="0" borderId="7" xfId="0" applyNumberFormat="1" applyFont="1" applyFill="1" applyBorder="1" applyAlignment="1" applyProtection="1">
      <protection locked="0"/>
    </xf>
    <xf numFmtId="166" fontId="18" fillId="0" borderId="0" xfId="1" applyNumberFormat="1" applyFont="1" applyFill="1" applyAlignment="1" applyProtection="1">
      <alignment horizontal="center"/>
      <protection locked="0"/>
    </xf>
    <xf numFmtId="166" fontId="18" fillId="2" borderId="0" xfId="1" applyNumberFormat="1" applyFont="1" applyFill="1" applyProtection="1">
      <protection locked="0"/>
    </xf>
    <xf numFmtId="166" fontId="39" fillId="5" borderId="0" xfId="1" applyNumberFormat="1" applyFont="1" applyFill="1" applyBorder="1" applyAlignment="1" applyProtection="1">
      <protection locked="0"/>
    </xf>
    <xf numFmtId="166" fontId="7" fillId="0" borderId="0" xfId="1" applyNumberFormat="1" applyFont="1" applyFill="1" applyAlignment="1" applyProtection="1">
      <alignment horizontal="center"/>
      <protection locked="0"/>
    </xf>
    <xf numFmtId="166" fontId="7" fillId="3" borderId="6" xfId="1" applyNumberFormat="1" applyFont="1" applyFill="1" applyBorder="1" applyAlignment="1" applyProtection="1">
      <alignment horizontal="center" vertical="center"/>
    </xf>
    <xf numFmtId="166" fontId="5" fillId="3" borderId="6" xfId="1" applyNumberFormat="1" applyFont="1" applyFill="1" applyBorder="1" applyAlignment="1" applyProtection="1">
      <alignment vertical="center"/>
    </xf>
    <xf numFmtId="166" fontId="5" fillId="4" borderId="6" xfId="1" applyNumberFormat="1" applyFont="1" applyFill="1" applyBorder="1" applyAlignment="1" applyProtection="1">
      <alignment vertical="center"/>
      <protection locked="0"/>
    </xf>
    <xf numFmtId="166" fontId="40" fillId="6" borderId="0" xfId="1" applyNumberFormat="1" applyFont="1" applyFill="1" applyAlignment="1" applyProtection="1">
      <protection locked="0"/>
    </xf>
    <xf numFmtId="166" fontId="40" fillId="6" borderId="0" xfId="1" applyNumberFormat="1" applyFont="1" applyFill="1" applyAlignment="1" applyProtection="1">
      <alignment horizontal="center"/>
      <protection locked="0"/>
    </xf>
    <xf numFmtId="0" fontId="40" fillId="6" borderId="0" xfId="0" applyFont="1" applyFill="1" applyProtection="1">
      <protection locked="0"/>
    </xf>
    <xf numFmtId="166" fontId="39" fillId="6" borderId="0" xfId="1" applyNumberFormat="1" applyFont="1" applyFill="1" applyAlignment="1" applyProtection="1">
      <protection locked="0"/>
    </xf>
    <xf numFmtId="166" fontId="7" fillId="6" borderId="0" xfId="1" applyNumberFormat="1" applyFont="1" applyFill="1" applyAlignment="1" applyProtection="1">
      <protection locked="0"/>
    </xf>
    <xf numFmtId="166" fontId="5" fillId="6" borderId="0" xfId="1" applyNumberFormat="1" applyFont="1" applyFill="1" applyAlignment="1" applyProtection="1">
      <protection locked="0"/>
    </xf>
    <xf numFmtId="166" fontId="5" fillId="6" borderId="0" xfId="1" applyNumberFormat="1" applyFont="1" applyFill="1" applyAlignment="1" applyProtection="1">
      <alignment horizontal="center"/>
      <protection locked="0"/>
    </xf>
    <xf numFmtId="0" fontId="5" fillId="6" borderId="0" xfId="0" applyFont="1" applyFill="1" applyProtection="1">
      <protection locked="0"/>
    </xf>
    <xf numFmtId="166" fontId="5" fillId="7" borderId="2" xfId="1" applyNumberFormat="1" applyFont="1" applyFill="1" applyBorder="1" applyAlignment="1" applyProtection="1">
      <alignment horizontal="center" vertical="center"/>
      <protection locked="0"/>
    </xf>
    <xf numFmtId="43" fontId="7" fillId="6" borderId="2" xfId="1" applyNumberFormat="1" applyFont="1" applyFill="1" applyBorder="1" applyAlignment="1" applyProtection="1">
      <alignment horizontal="center" vertical="center"/>
      <protection locked="0"/>
    </xf>
    <xf numFmtId="165" fontId="2" fillId="6" borderId="2" xfId="1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Protection="1">
      <protection locked="0"/>
    </xf>
    <xf numFmtId="166" fontId="5" fillId="8" borderId="2" xfId="1" applyNumberFormat="1" applyFont="1" applyFill="1" applyBorder="1" applyAlignment="1" applyProtection="1">
      <alignment horizontal="center" vertical="center"/>
      <protection locked="0"/>
    </xf>
    <xf numFmtId="166" fontId="41" fillId="6" borderId="2" xfId="1" applyNumberFormat="1" applyFont="1" applyFill="1" applyBorder="1" applyAlignment="1" applyProtection="1">
      <alignment horizontal="center" vertical="center"/>
      <protection locked="0"/>
    </xf>
    <xf numFmtId="166" fontId="5" fillId="9" borderId="2" xfId="1" applyNumberFormat="1" applyFont="1" applyFill="1" applyBorder="1" applyAlignment="1" applyProtection="1">
      <alignment horizontal="center" vertical="center"/>
    </xf>
    <xf numFmtId="166" fontId="5" fillId="9" borderId="2" xfId="1" applyNumberFormat="1" applyFont="1" applyFill="1" applyBorder="1" applyAlignment="1" applyProtection="1">
      <alignment horizontal="left" vertical="center"/>
    </xf>
    <xf numFmtId="166" fontId="7" fillId="9" borderId="2" xfId="1" applyNumberFormat="1" applyFont="1" applyFill="1" applyBorder="1" applyAlignment="1" applyProtection="1">
      <alignment horizontal="center" vertical="center"/>
    </xf>
    <xf numFmtId="166" fontId="5" fillId="8" borderId="5" xfId="1" applyNumberFormat="1" applyFont="1" applyFill="1" applyBorder="1" applyAlignment="1" applyProtection="1">
      <alignment horizontal="center" vertical="center"/>
      <protection locked="0"/>
    </xf>
    <xf numFmtId="166" fontId="41" fillId="8" borderId="2" xfId="1" applyNumberFormat="1" applyFont="1" applyFill="1" applyBorder="1" applyAlignment="1" applyProtection="1">
      <alignment horizontal="center" vertical="center"/>
      <protection locked="0"/>
    </xf>
    <xf numFmtId="43" fontId="7" fillId="8" borderId="2" xfId="1" applyNumberFormat="1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166" fontId="31" fillId="0" borderId="0" xfId="1" applyNumberFormat="1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3" fontId="31" fillId="0" borderId="0" xfId="0" applyNumberFormat="1" applyFont="1" applyFill="1" applyProtection="1">
      <protection locked="0"/>
    </xf>
    <xf numFmtId="165" fontId="30" fillId="0" borderId="2" xfId="1" applyNumberFormat="1" applyFont="1" applyFill="1" applyBorder="1" applyAlignment="1" applyProtection="1">
      <alignment horizontal="center" vertical="center"/>
      <protection locked="0"/>
    </xf>
    <xf numFmtId="165" fontId="30" fillId="0" borderId="3" xfId="1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Protection="1">
      <protection locked="0"/>
    </xf>
    <xf numFmtId="165" fontId="29" fillId="0" borderId="0" xfId="0" applyNumberFormat="1" applyFont="1" applyFill="1" applyProtection="1">
      <protection locked="0"/>
    </xf>
    <xf numFmtId="166" fontId="31" fillId="0" borderId="0" xfId="1" applyNumberFormat="1" applyFont="1" applyFill="1" applyAlignment="1" applyProtection="1">
      <protection locked="0"/>
    </xf>
    <xf numFmtId="43" fontId="31" fillId="0" borderId="0" xfId="0" applyNumberFormat="1" applyFont="1" applyFill="1" applyProtection="1">
      <protection locked="0"/>
    </xf>
    <xf numFmtId="166" fontId="31" fillId="0" borderId="0" xfId="1" applyNumberFormat="1" applyFont="1" applyFill="1" applyProtection="1">
      <protection locked="0"/>
    </xf>
    <xf numFmtId="3" fontId="33" fillId="0" borderId="0" xfId="0" applyNumberFormat="1" applyFont="1" applyFill="1"/>
    <xf numFmtId="3" fontId="33" fillId="0" borderId="0" xfId="0" applyNumberFormat="1" applyFont="1" applyFill="1" applyBorder="1" applyAlignment="1">
      <alignment wrapText="1"/>
    </xf>
    <xf numFmtId="166" fontId="33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0" xfId="0" applyNumberFormat="1" applyFont="1" applyFill="1" applyProtection="1">
      <protection locked="0"/>
    </xf>
    <xf numFmtId="165" fontId="36" fillId="0" borderId="2" xfId="1" applyNumberFormat="1" applyFont="1" applyFill="1" applyBorder="1" applyAlignment="1" applyProtection="1">
      <alignment horizontal="center" vertical="center"/>
      <protection locked="0"/>
    </xf>
    <xf numFmtId="165" fontId="36" fillId="0" borderId="3" xfId="1" applyNumberFormat="1" applyFont="1" applyFill="1" applyBorder="1" applyAlignment="1" applyProtection="1">
      <alignment horizontal="center" vertical="center"/>
      <protection locked="0"/>
    </xf>
    <xf numFmtId="166" fontId="31" fillId="0" borderId="0" xfId="0" applyNumberFormat="1" applyFont="1" applyFill="1" applyAlignment="1" applyProtection="1">
      <protection locked="0"/>
    </xf>
    <xf numFmtId="166" fontId="32" fillId="0" borderId="1" xfId="1" applyNumberFormat="1" applyFont="1" applyFill="1" applyBorder="1" applyAlignment="1" applyProtection="1">
      <alignment horizontal="center" vertical="center"/>
    </xf>
    <xf numFmtId="166" fontId="32" fillId="0" borderId="1" xfId="1" applyNumberFormat="1" applyFont="1" applyFill="1" applyBorder="1" applyAlignment="1" applyProtection="1">
      <alignment horizontal="left" vertical="center"/>
    </xf>
    <xf numFmtId="0" fontId="38" fillId="0" borderId="0" xfId="0" applyFont="1" applyFill="1" applyProtection="1">
      <protection locked="0"/>
    </xf>
    <xf numFmtId="0" fontId="43" fillId="0" borderId="0" xfId="0" applyFont="1" applyFill="1" applyProtection="1">
      <protection locked="0"/>
    </xf>
    <xf numFmtId="166" fontId="33" fillId="0" borderId="1" xfId="1" applyNumberFormat="1" applyFont="1" applyFill="1" applyBorder="1" applyAlignment="1" applyProtection="1">
      <alignment horizontal="center" vertical="center"/>
    </xf>
    <xf numFmtId="166" fontId="33" fillId="0" borderId="1" xfId="1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 applyProtection="1">
      <protection locked="0"/>
    </xf>
    <xf numFmtId="0" fontId="46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166" fontId="47" fillId="0" borderId="1" xfId="1" applyNumberFormat="1" applyFont="1" applyFill="1" applyBorder="1" applyAlignment="1" applyProtection="1">
      <alignment horizontal="center" vertical="center" wrapText="1"/>
    </xf>
    <xf numFmtId="166" fontId="47" fillId="0" borderId="1" xfId="1" applyNumberFormat="1" applyFont="1" applyFill="1" applyBorder="1" applyAlignment="1" applyProtection="1">
      <alignment horizontal="center" vertical="center"/>
    </xf>
    <xf numFmtId="165" fontId="47" fillId="0" borderId="1" xfId="1" applyNumberFormat="1" applyFont="1" applyFill="1" applyBorder="1" applyAlignment="1" applyProtection="1">
      <alignment horizontal="center" vertical="center"/>
    </xf>
    <xf numFmtId="166" fontId="49" fillId="0" borderId="1" xfId="1" applyNumberFormat="1" applyFont="1" applyFill="1" applyBorder="1" applyAlignment="1" applyProtection="1">
      <alignment horizontal="center" vertical="center"/>
    </xf>
    <xf numFmtId="166" fontId="49" fillId="0" borderId="1" xfId="1" applyNumberFormat="1" applyFont="1" applyFill="1" applyBorder="1" applyAlignment="1" applyProtection="1">
      <alignment horizontal="left" vertical="center"/>
    </xf>
    <xf numFmtId="166" fontId="48" fillId="0" borderId="1" xfId="1" applyNumberFormat="1" applyFont="1" applyFill="1" applyBorder="1" applyAlignment="1" applyProtection="1">
      <alignment horizontal="center" vertical="center"/>
    </xf>
    <xf numFmtId="166" fontId="48" fillId="0" borderId="1" xfId="1" applyNumberFormat="1" applyFont="1" applyFill="1" applyBorder="1" applyAlignment="1" applyProtection="1">
      <alignment horizontal="left" vertical="center"/>
    </xf>
    <xf numFmtId="166" fontId="48" fillId="0" borderId="1" xfId="1" applyNumberFormat="1" applyFont="1" applyFill="1" applyBorder="1" applyAlignment="1" applyProtection="1">
      <alignment vertical="center"/>
    </xf>
    <xf numFmtId="166" fontId="48" fillId="10" borderId="1" xfId="1" applyNumberFormat="1" applyFont="1" applyFill="1" applyBorder="1" applyAlignment="1" applyProtection="1">
      <alignment horizontal="center" vertical="center"/>
      <protection locked="0"/>
    </xf>
    <xf numFmtId="165" fontId="48" fillId="0" borderId="1" xfId="1" applyNumberFormat="1" applyFont="1" applyFill="1" applyBorder="1" applyAlignment="1" applyProtection="1">
      <alignment horizontal="center" vertical="center"/>
    </xf>
    <xf numFmtId="166" fontId="48" fillId="0" borderId="1" xfId="4" applyNumberFormat="1" applyFont="1" applyFill="1" applyBorder="1" applyAlignment="1" applyProtection="1">
      <alignment horizontal="center" vertical="center"/>
      <protection locked="0"/>
    </xf>
    <xf numFmtId="166" fontId="48" fillId="10" borderId="1" xfId="4" applyNumberFormat="1" applyFont="1" applyFill="1" applyBorder="1" applyAlignment="1" applyProtection="1">
      <alignment horizontal="center" vertical="center"/>
      <protection locked="0"/>
    </xf>
    <xf numFmtId="166" fontId="48" fillId="0" borderId="1" xfId="1" applyNumberFormat="1" applyFont="1" applyFill="1" applyBorder="1" applyAlignment="1" applyProtection="1">
      <alignment horizontal="center" vertical="center"/>
      <protection locked="0"/>
    </xf>
    <xf numFmtId="166" fontId="31" fillId="0" borderId="2" xfId="4" applyNumberFormat="1" applyFont="1" applyFill="1" applyBorder="1" applyAlignment="1" applyProtection="1">
      <alignment horizontal="center" vertical="center"/>
      <protection locked="0"/>
    </xf>
    <xf numFmtId="166" fontId="31" fillId="0" borderId="2" xfId="1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Protection="1">
      <protection locked="0"/>
    </xf>
    <xf numFmtId="166" fontId="33" fillId="0" borderId="2" xfId="1" applyNumberFormat="1" applyFont="1" applyFill="1" applyBorder="1" applyAlignment="1" applyProtection="1">
      <alignment horizontal="center" vertical="center"/>
    </xf>
    <xf numFmtId="165" fontId="33" fillId="0" borderId="2" xfId="1" applyNumberFormat="1" applyFont="1" applyFill="1" applyBorder="1" applyAlignment="1" applyProtection="1">
      <alignment horizontal="center" vertical="center"/>
      <protection locked="0"/>
    </xf>
    <xf numFmtId="165" fontId="33" fillId="0" borderId="3" xfId="1" applyNumberFormat="1" applyFont="1" applyFill="1" applyBorder="1" applyAlignment="1" applyProtection="1">
      <alignment horizontal="center" vertical="center"/>
      <protection locked="0"/>
    </xf>
    <xf numFmtId="3" fontId="33" fillId="0" borderId="0" xfId="0" applyNumberFormat="1" applyFont="1" applyFill="1" applyProtection="1">
      <protection locked="0"/>
    </xf>
    <xf numFmtId="166" fontId="32" fillId="0" borderId="2" xfId="1" applyNumberFormat="1" applyFont="1" applyFill="1" applyBorder="1" applyAlignment="1" applyProtection="1">
      <alignment horizontal="center" vertical="center"/>
    </xf>
    <xf numFmtId="165" fontId="32" fillId="0" borderId="0" xfId="0" applyNumberFormat="1" applyFont="1" applyFill="1" applyProtection="1">
      <protection locked="0"/>
    </xf>
    <xf numFmtId="166" fontId="31" fillId="0" borderId="1" xfId="1" applyNumberFormat="1" applyFont="1" applyFill="1" applyBorder="1" applyAlignment="1" applyProtection="1">
      <alignment horizontal="center" vertical="center"/>
    </xf>
    <xf numFmtId="166" fontId="31" fillId="0" borderId="1" xfId="1" applyNumberFormat="1" applyFont="1" applyFill="1" applyBorder="1" applyAlignment="1" applyProtection="1">
      <alignment horizontal="left" vertical="center"/>
    </xf>
    <xf numFmtId="166" fontId="31" fillId="10" borderId="1" xfId="1" applyNumberFormat="1" applyFont="1" applyFill="1" applyBorder="1" applyAlignment="1" applyProtection="1">
      <alignment horizontal="center" vertical="center"/>
      <protection locked="0"/>
    </xf>
    <xf numFmtId="166" fontId="31" fillId="0" borderId="1" xfId="4" applyNumberFormat="1" applyFont="1" applyFill="1" applyBorder="1" applyAlignment="1" applyProtection="1">
      <alignment horizontal="center" vertical="center"/>
      <protection locked="0"/>
    </xf>
    <xf numFmtId="166" fontId="31" fillId="0" borderId="1" xfId="1" applyNumberFormat="1" applyFont="1" applyFill="1" applyBorder="1" applyAlignment="1" applyProtection="1">
      <alignment horizontal="center" vertical="center"/>
      <protection locked="0"/>
    </xf>
    <xf numFmtId="43" fontId="31" fillId="0" borderId="1" xfId="1" applyNumberFormat="1" applyFont="1" applyFill="1" applyBorder="1" applyAlignment="1" applyProtection="1">
      <alignment horizontal="center" vertical="center"/>
      <protection locked="0"/>
    </xf>
    <xf numFmtId="165" fontId="31" fillId="0" borderId="2" xfId="1" applyNumberFormat="1" applyFont="1" applyFill="1" applyBorder="1" applyAlignment="1" applyProtection="1">
      <alignment horizontal="center" vertical="center"/>
      <protection locked="0"/>
    </xf>
    <xf numFmtId="165" fontId="31" fillId="0" borderId="3" xfId="1" applyNumberFormat="1" applyFont="1" applyFill="1" applyBorder="1" applyAlignment="1" applyProtection="1">
      <alignment horizontal="center" vertical="center"/>
      <protection locked="0"/>
    </xf>
    <xf numFmtId="166" fontId="31" fillId="10" borderId="1" xfId="1" applyNumberFormat="1" applyFont="1" applyFill="1" applyBorder="1" applyAlignment="1" applyProtection="1">
      <alignment horizontal="center" vertical="center"/>
    </xf>
    <xf numFmtId="165" fontId="50" fillId="0" borderId="2" xfId="1" applyNumberFormat="1" applyFont="1" applyFill="1" applyBorder="1" applyAlignment="1" applyProtection="1">
      <alignment horizontal="center" vertical="center"/>
      <protection locked="0"/>
    </xf>
    <xf numFmtId="165" fontId="50" fillId="0" borderId="3" xfId="1" applyNumberFormat="1" applyFont="1" applyFill="1" applyBorder="1" applyAlignment="1" applyProtection="1">
      <alignment horizontal="center" vertical="center"/>
      <protection locked="0"/>
    </xf>
    <xf numFmtId="1" fontId="53" fillId="10" borderId="0" xfId="7" applyFont="1" applyFill="1"/>
    <xf numFmtId="0" fontId="53" fillId="0" borderId="0" xfId="1" applyNumberFormat="1" applyFont="1" applyFill="1"/>
    <xf numFmtId="0" fontId="53" fillId="10" borderId="0" xfId="1" applyNumberFormat="1" applyFont="1" applyFill="1" applyAlignment="1">
      <alignment horizontal="center"/>
    </xf>
    <xf numFmtId="0" fontId="54" fillId="10" borderId="0" xfId="1" applyNumberFormat="1" applyFont="1" applyFill="1"/>
    <xf numFmtId="0" fontId="55" fillId="10" borderId="0" xfId="0" applyFont="1" applyFill="1"/>
    <xf numFmtId="1" fontId="6" fillId="10" borderId="12" xfId="7" applyFont="1" applyFill="1" applyBorder="1" applyAlignment="1">
      <alignment horizontal="center"/>
    </xf>
    <xf numFmtId="1" fontId="6" fillId="0" borderId="12" xfId="7" applyFont="1" applyFill="1" applyBorder="1" applyAlignment="1">
      <alignment horizontal="center"/>
    </xf>
    <xf numFmtId="0" fontId="58" fillId="10" borderId="1" xfId="1" applyNumberFormat="1" applyFont="1" applyFill="1" applyBorder="1" applyAlignment="1">
      <alignment horizontal="center" vertical="center" wrapText="1"/>
    </xf>
    <xf numFmtId="0" fontId="55" fillId="10" borderId="1" xfId="8" applyFont="1" applyFill="1" applyBorder="1" applyAlignment="1">
      <alignment horizontal="center"/>
    </xf>
    <xf numFmtId="0" fontId="55" fillId="0" borderId="1" xfId="1" applyNumberFormat="1" applyFont="1" applyFill="1" applyBorder="1" applyAlignment="1">
      <alignment horizontal="center"/>
    </xf>
    <xf numFmtId="0" fontId="55" fillId="10" borderId="1" xfId="1" applyNumberFormat="1" applyFont="1" applyFill="1" applyBorder="1" applyAlignment="1">
      <alignment horizontal="center"/>
    </xf>
    <xf numFmtId="0" fontId="59" fillId="10" borderId="1" xfId="1" applyNumberFormat="1" applyFont="1" applyFill="1" applyBorder="1" applyAlignment="1">
      <alignment horizontal="center"/>
    </xf>
    <xf numFmtId="0" fontId="58" fillId="10" borderId="19" xfId="8" applyFont="1" applyFill="1" applyBorder="1" applyAlignment="1">
      <alignment horizontal="center"/>
    </xf>
    <xf numFmtId="3" fontId="58" fillId="0" borderId="19" xfId="1" applyNumberFormat="1" applyFont="1" applyFill="1" applyBorder="1" applyAlignment="1">
      <alignment horizontal="center"/>
    </xf>
    <xf numFmtId="169" fontId="58" fillId="10" borderId="19" xfId="1" applyNumberFormat="1" applyFont="1" applyFill="1" applyBorder="1" applyAlignment="1">
      <alignment horizontal="center"/>
    </xf>
    <xf numFmtId="0" fontId="60" fillId="10" borderId="19" xfId="1" applyNumberFormat="1" applyFont="1" applyFill="1" applyBorder="1" applyAlignment="1">
      <alignment horizontal="center"/>
    </xf>
    <xf numFmtId="164" fontId="55" fillId="10" borderId="0" xfId="0" applyNumberFormat="1" applyFont="1" applyFill="1"/>
    <xf numFmtId="0" fontId="58" fillId="10" borderId="1" xfId="8" applyFont="1" applyFill="1" applyBorder="1" applyAlignment="1">
      <alignment horizontal="center" vertical="center" wrapText="1"/>
    </xf>
    <xf numFmtId="0" fontId="58" fillId="10" borderId="1" xfId="8" applyFont="1" applyFill="1" applyBorder="1" applyAlignment="1">
      <alignment vertical="center" wrapText="1"/>
    </xf>
    <xf numFmtId="0" fontId="58" fillId="0" borderId="1" xfId="8" applyFont="1" applyFill="1" applyBorder="1" applyAlignment="1">
      <alignment vertical="center" wrapText="1"/>
    </xf>
    <xf numFmtId="0" fontId="55" fillId="10" borderId="20" xfId="8" applyFont="1" applyFill="1" applyBorder="1" applyAlignment="1">
      <alignment horizontal="center" vertical="center" wrapText="1"/>
    </xf>
    <xf numFmtId="0" fontId="61" fillId="12" borderId="2" xfId="0" applyFont="1" applyFill="1" applyBorder="1"/>
    <xf numFmtId="0" fontId="55" fillId="10" borderId="2" xfId="8" applyFont="1" applyFill="1" applyBorder="1" applyAlignment="1">
      <alignment horizontal="center" vertical="center" wrapText="1"/>
    </xf>
    <xf numFmtId="0" fontId="55" fillId="0" borderId="2" xfId="1" applyNumberFormat="1" applyFont="1" applyFill="1" applyBorder="1" applyAlignment="1">
      <alignment horizontal="right" vertical="center"/>
    </xf>
    <xf numFmtId="0" fontId="55" fillId="10" borderId="2" xfId="1" applyNumberFormat="1" applyFont="1" applyFill="1" applyBorder="1" applyAlignment="1">
      <alignment horizontal="right" vertical="center"/>
    </xf>
    <xf numFmtId="167" fontId="55" fillId="10" borderId="2" xfId="1" applyNumberFormat="1" applyFont="1" applyFill="1" applyBorder="1" applyAlignment="1">
      <alignment horizontal="center" vertical="center" wrapText="1"/>
    </xf>
    <xf numFmtId="170" fontId="55" fillId="10" borderId="2" xfId="1" applyNumberFormat="1" applyFont="1" applyFill="1" applyBorder="1" applyAlignment="1">
      <alignment horizontal="center" vertical="center" wrapText="1"/>
    </xf>
    <xf numFmtId="0" fontId="61" fillId="10" borderId="2" xfId="8" applyFont="1" applyFill="1" applyBorder="1" applyAlignment="1">
      <alignment horizontal="center" vertical="center" wrapText="1"/>
    </xf>
    <xf numFmtId="0" fontId="58" fillId="10" borderId="2" xfId="8" applyFont="1" applyFill="1" applyBorder="1" applyAlignment="1">
      <alignment horizontal="center" vertical="center" wrapText="1"/>
    </xf>
    <xf numFmtId="0" fontId="55" fillId="10" borderId="21" xfId="8" applyFont="1" applyFill="1" applyBorder="1" applyAlignment="1">
      <alignment horizontal="center" vertical="center" wrapText="1"/>
    </xf>
    <xf numFmtId="0" fontId="53" fillId="12" borderId="5" xfId="0" applyFont="1" applyFill="1" applyBorder="1" applyAlignment="1">
      <alignment wrapText="1"/>
    </xf>
    <xf numFmtId="0" fontId="53" fillId="12" borderId="5" xfId="0" applyFont="1" applyFill="1" applyBorder="1" applyAlignment="1">
      <alignment horizontal="center"/>
    </xf>
    <xf numFmtId="169" fontId="55" fillId="0" borderId="5" xfId="1" applyNumberFormat="1" applyFont="1" applyFill="1" applyBorder="1" applyAlignment="1">
      <alignment horizontal="right" vertical="center" wrapText="1"/>
    </xf>
    <xf numFmtId="169" fontId="55" fillId="0" borderId="5" xfId="1" applyNumberFormat="1" applyFont="1" applyFill="1" applyBorder="1" applyAlignment="1">
      <alignment horizontal="right" vertical="center"/>
    </xf>
    <xf numFmtId="169" fontId="55" fillId="10" borderId="5" xfId="1" applyNumberFormat="1" applyFont="1" applyFill="1" applyBorder="1" applyAlignment="1">
      <alignment horizontal="right" vertical="center"/>
    </xf>
    <xf numFmtId="0" fontId="61" fillId="10" borderId="5" xfId="8" applyFont="1" applyFill="1" applyBorder="1" applyAlignment="1">
      <alignment horizontal="center" vertical="center" wrapText="1"/>
    </xf>
    <xf numFmtId="0" fontId="58" fillId="10" borderId="5" xfId="8" applyFont="1" applyFill="1" applyBorder="1" applyAlignment="1">
      <alignment horizontal="center" vertical="center" wrapText="1"/>
    </xf>
    <xf numFmtId="0" fontId="53" fillId="12" borderId="5" xfId="0" applyFont="1" applyFill="1" applyBorder="1" applyAlignment="1">
      <alignment horizontal="left" vertical="center" wrapText="1"/>
    </xf>
    <xf numFmtId="0" fontId="55" fillId="0" borderId="5" xfId="1" applyNumberFormat="1" applyFont="1" applyFill="1" applyBorder="1" applyAlignment="1">
      <alignment horizontal="right" vertical="center"/>
    </xf>
    <xf numFmtId="0" fontId="61" fillId="10" borderId="5" xfId="8" applyFont="1" applyFill="1" applyBorder="1" applyAlignment="1">
      <alignment vertical="center" wrapText="1"/>
    </xf>
    <xf numFmtId="0" fontId="61" fillId="10" borderId="22" xfId="8" applyFont="1" applyFill="1" applyBorder="1" applyAlignment="1">
      <alignment vertical="center" wrapText="1"/>
    </xf>
    <xf numFmtId="0" fontId="53" fillId="12" borderId="5" xfId="0" quotePrefix="1" applyFont="1" applyFill="1" applyBorder="1" applyAlignment="1">
      <alignment horizontal="left" vertical="center" wrapText="1"/>
    </xf>
    <xf numFmtId="43" fontId="55" fillId="0" borderId="5" xfId="1" applyFont="1" applyFill="1" applyBorder="1" applyAlignment="1">
      <alignment horizontal="right" vertical="center"/>
    </xf>
    <xf numFmtId="0" fontId="55" fillId="0" borderId="5" xfId="8" applyFont="1" applyFill="1" applyBorder="1" applyAlignment="1">
      <alignment horizontal="right" vertical="center" wrapText="1"/>
    </xf>
    <xf numFmtId="43" fontId="55" fillId="10" borderId="5" xfId="1" applyFont="1" applyFill="1" applyBorder="1" applyAlignment="1">
      <alignment horizontal="right" vertical="center"/>
    </xf>
    <xf numFmtId="0" fontId="53" fillId="10" borderId="5" xfId="8" applyFont="1" applyFill="1" applyBorder="1" applyAlignment="1">
      <alignment vertical="center" wrapText="1"/>
    </xf>
    <xf numFmtId="0" fontId="53" fillId="10" borderId="22" xfId="8" applyFont="1" applyFill="1" applyBorder="1" applyAlignment="1">
      <alignment vertical="center" wrapText="1"/>
    </xf>
    <xf numFmtId="0" fontId="55" fillId="0" borderId="22" xfId="8" applyFont="1" applyFill="1" applyBorder="1" applyAlignment="1">
      <alignment horizontal="right" vertical="center" wrapText="1"/>
    </xf>
    <xf numFmtId="0" fontId="53" fillId="10" borderId="5" xfId="8" applyFont="1" applyFill="1" applyBorder="1" applyAlignment="1">
      <alignment horizontal="center" vertical="center" wrapText="1"/>
    </xf>
    <xf numFmtId="0" fontId="55" fillId="10" borderId="5" xfId="8" applyFont="1" applyFill="1" applyBorder="1" applyAlignment="1">
      <alignment horizontal="center" vertical="center" wrapText="1"/>
    </xf>
    <xf numFmtId="0" fontId="61" fillId="12" borderId="5" xfId="0" applyFont="1" applyFill="1" applyBorder="1" applyAlignment="1">
      <alignment horizontal="left" vertical="center"/>
    </xf>
    <xf numFmtId="0" fontId="55" fillId="10" borderId="23" xfId="8" applyFont="1" applyFill="1" applyBorder="1" applyAlignment="1">
      <alignment horizontal="center" vertical="center" wrapText="1"/>
    </xf>
    <xf numFmtId="0" fontId="53" fillId="12" borderId="24" xfId="0" applyFont="1" applyFill="1" applyBorder="1" applyAlignment="1">
      <alignment horizontal="left" vertical="center" wrapText="1"/>
    </xf>
    <xf numFmtId="0" fontId="53" fillId="12" borderId="24" xfId="0" applyFont="1" applyFill="1" applyBorder="1" applyAlignment="1">
      <alignment horizontal="center"/>
    </xf>
    <xf numFmtId="0" fontId="55" fillId="0" borderId="24" xfId="8" applyFont="1" applyFill="1" applyBorder="1" applyAlignment="1">
      <alignment horizontal="right" vertical="center" wrapText="1"/>
    </xf>
    <xf numFmtId="167" fontId="55" fillId="10" borderId="19" xfId="1" applyNumberFormat="1" applyFont="1" applyFill="1" applyBorder="1" applyAlignment="1">
      <alignment horizontal="center" vertical="center" wrapText="1"/>
    </xf>
    <xf numFmtId="170" fontId="55" fillId="10" borderId="19" xfId="1" applyNumberFormat="1" applyFont="1" applyFill="1" applyBorder="1" applyAlignment="1">
      <alignment horizontal="center" vertical="center" wrapText="1"/>
    </xf>
    <xf numFmtId="0" fontId="53" fillId="10" borderId="24" xfId="8" applyFont="1" applyFill="1" applyBorder="1" applyAlignment="1">
      <alignment horizontal="center" vertical="center" wrapText="1"/>
    </xf>
    <xf numFmtId="0" fontId="59" fillId="10" borderId="24" xfId="8" applyFont="1" applyFill="1" applyBorder="1" applyAlignment="1">
      <alignment horizontal="center" vertical="center" wrapText="1"/>
    </xf>
    <xf numFmtId="0" fontId="59" fillId="10" borderId="1" xfId="8" applyFont="1" applyFill="1" applyBorder="1" applyAlignment="1">
      <alignment horizontal="center" vertical="center" wrapText="1"/>
    </xf>
    <xf numFmtId="0" fontId="59" fillId="0" borderId="1" xfId="1" applyNumberFormat="1" applyFont="1" applyFill="1" applyBorder="1" applyAlignment="1">
      <alignment horizontal="center" vertical="center"/>
    </xf>
    <xf numFmtId="0" fontId="59" fillId="10" borderId="1" xfId="1" applyNumberFormat="1" applyFont="1" applyFill="1" applyBorder="1" applyAlignment="1">
      <alignment horizontal="center" vertical="center"/>
    </xf>
    <xf numFmtId="167" fontId="55" fillId="10" borderId="1" xfId="1" applyNumberFormat="1" applyFont="1" applyFill="1" applyBorder="1" applyAlignment="1">
      <alignment horizontal="center" vertical="center" wrapText="1"/>
    </xf>
    <xf numFmtId="170" fontId="55" fillId="10" borderId="1" xfId="1" applyNumberFormat="1" applyFont="1" applyFill="1" applyBorder="1" applyAlignment="1">
      <alignment horizontal="center" vertical="center" wrapText="1"/>
    </xf>
    <xf numFmtId="0" fontId="53" fillId="10" borderId="1" xfId="8" applyFont="1" applyFill="1" applyBorder="1" applyAlignment="1">
      <alignment horizontal="center" vertical="center" wrapText="1"/>
    </xf>
    <xf numFmtId="0" fontId="61" fillId="12" borderId="2" xfId="0" applyFont="1" applyFill="1" applyBorder="1" applyAlignment="1">
      <alignment horizontal="center" wrapText="1"/>
    </xf>
    <xf numFmtId="0" fontId="61" fillId="12" borderId="2" xfId="0" applyFont="1" applyFill="1" applyBorder="1" applyAlignment="1">
      <alignment vertical="center" wrapText="1"/>
    </xf>
    <xf numFmtId="0" fontId="59" fillId="10" borderId="2" xfId="8" applyFont="1" applyFill="1" applyBorder="1" applyAlignment="1">
      <alignment horizontal="center" vertical="center" wrapText="1"/>
    </xf>
    <xf numFmtId="0" fontId="59" fillId="0" borderId="2" xfId="1" applyNumberFormat="1" applyFont="1" applyFill="1" applyBorder="1" applyAlignment="1">
      <alignment horizontal="center" vertical="center"/>
    </xf>
    <xf numFmtId="0" fontId="59" fillId="10" borderId="2" xfId="1" applyNumberFormat="1" applyFont="1" applyFill="1" applyBorder="1" applyAlignment="1">
      <alignment horizontal="center" vertical="center"/>
    </xf>
    <xf numFmtId="0" fontId="53" fillId="10" borderId="2" xfId="8" applyFont="1" applyFill="1" applyBorder="1" applyAlignment="1">
      <alignment horizontal="center" vertical="center" wrapText="1"/>
    </xf>
    <xf numFmtId="0" fontId="53" fillId="12" borderId="5" xfId="0" applyFont="1" applyFill="1" applyBorder="1" applyAlignment="1">
      <alignment horizontal="center" wrapText="1"/>
    </xf>
    <xf numFmtId="0" fontId="53" fillId="12" borderId="5" xfId="0" applyFont="1" applyFill="1" applyBorder="1" applyAlignment="1">
      <alignment vertical="center" wrapText="1"/>
    </xf>
    <xf numFmtId="0" fontId="55" fillId="10" borderId="5" xfId="1" applyNumberFormat="1" applyFont="1" applyFill="1" applyBorder="1" applyAlignment="1">
      <alignment horizontal="right" vertical="center"/>
    </xf>
    <xf numFmtId="0" fontId="59" fillId="10" borderId="5" xfId="8" applyFont="1" applyFill="1" applyBorder="1" applyAlignment="1">
      <alignment horizontal="center" vertical="center" wrapText="1"/>
    </xf>
    <xf numFmtId="0" fontId="54" fillId="12" borderId="5" xfId="0" applyFont="1" applyFill="1" applyBorder="1" applyAlignment="1">
      <alignment horizontal="center" wrapText="1"/>
    </xf>
    <xf numFmtId="0" fontId="54" fillId="0" borderId="5" xfId="0" applyFont="1" applyBorder="1" applyAlignment="1">
      <alignment vertical="center"/>
    </xf>
    <xf numFmtId="0" fontId="54" fillId="0" borderId="5" xfId="0" quotePrefix="1" applyFont="1" applyBorder="1" applyAlignment="1">
      <alignment vertical="center"/>
    </xf>
    <xf numFmtId="0" fontId="54" fillId="12" borderId="5" xfId="0" applyFont="1" applyFill="1" applyBorder="1" applyAlignment="1">
      <alignment vertical="center" wrapText="1"/>
    </xf>
    <xf numFmtId="0" fontId="53" fillId="0" borderId="5" xfId="0" applyFont="1" applyBorder="1" applyAlignment="1">
      <alignment vertical="center"/>
    </xf>
    <xf numFmtId="0" fontId="54" fillId="12" borderId="5" xfId="0" quotePrefix="1" applyFont="1" applyFill="1" applyBorder="1" applyAlignment="1">
      <alignment vertical="center" wrapText="1"/>
    </xf>
    <xf numFmtId="0" fontId="54" fillId="12" borderId="24" xfId="0" applyFont="1" applyFill="1" applyBorder="1" applyAlignment="1">
      <alignment horizontal="center" wrapText="1"/>
    </xf>
    <xf numFmtId="0" fontId="54" fillId="12" borderId="24" xfId="0" applyFont="1" applyFill="1" applyBorder="1" applyAlignment="1">
      <alignment horizontal="justify" vertical="center" wrapText="1"/>
    </xf>
    <xf numFmtId="43" fontId="55" fillId="0" borderId="24" xfId="1" applyFont="1" applyFill="1" applyBorder="1" applyAlignment="1">
      <alignment horizontal="right" vertical="center"/>
    </xf>
    <xf numFmtId="43" fontId="55" fillId="10" borderId="24" xfId="1" applyFont="1" applyFill="1" applyBorder="1" applyAlignment="1">
      <alignment horizontal="right" vertical="center"/>
    </xf>
    <xf numFmtId="0" fontId="61" fillId="12" borderId="1" xfId="0" applyFont="1" applyFill="1" applyBorder="1" applyAlignment="1">
      <alignment horizontal="center" wrapText="1"/>
    </xf>
    <xf numFmtId="0" fontId="61" fillId="12" borderId="1" xfId="0" applyFont="1" applyFill="1" applyBorder="1" applyAlignment="1">
      <alignment wrapText="1"/>
    </xf>
    <xf numFmtId="0" fontId="55" fillId="0" borderId="1" xfId="8" applyFont="1" applyFill="1" applyBorder="1" applyAlignment="1">
      <alignment horizontal="right" vertical="center" wrapText="1"/>
    </xf>
    <xf numFmtId="0" fontId="59" fillId="10" borderId="1" xfId="1" applyNumberFormat="1" applyFont="1" applyFill="1" applyBorder="1" applyAlignment="1">
      <alignment horizontal="right" vertical="center"/>
    </xf>
    <xf numFmtId="0" fontId="53" fillId="12" borderId="2" xfId="0" applyFont="1" applyFill="1" applyBorder="1" applyAlignment="1">
      <alignment horizontal="center" wrapText="1"/>
    </xf>
    <xf numFmtId="0" fontId="53" fillId="12" borderId="2" xfId="0" applyFont="1" applyFill="1" applyBorder="1" applyAlignment="1">
      <alignment vertical="center" wrapText="1"/>
    </xf>
    <xf numFmtId="0" fontId="53" fillId="12" borderId="20" xfId="0" applyFont="1" applyFill="1" applyBorder="1" applyAlignment="1">
      <alignment horizontal="center" wrapText="1"/>
    </xf>
    <xf numFmtId="169" fontId="55" fillId="0" borderId="2" xfId="1" applyNumberFormat="1" applyFont="1" applyFill="1" applyBorder="1" applyAlignment="1">
      <alignment horizontal="right" vertical="center"/>
    </xf>
    <xf numFmtId="0" fontId="53" fillId="12" borderId="21" xfId="0" applyFont="1" applyFill="1" applyBorder="1" applyAlignment="1">
      <alignment horizontal="center" wrapText="1"/>
    </xf>
    <xf numFmtId="0" fontId="54" fillId="12" borderId="21" xfId="0" applyFont="1" applyFill="1" applyBorder="1" applyAlignment="1">
      <alignment horizontal="center" wrapText="1"/>
    </xf>
    <xf numFmtId="43" fontId="55" fillId="10" borderId="2" xfId="1" applyFont="1" applyFill="1" applyBorder="1" applyAlignment="1">
      <alignment horizontal="right" vertical="center"/>
    </xf>
    <xf numFmtId="0" fontId="53" fillId="12" borderId="24" xfId="0" applyFont="1" applyFill="1" applyBorder="1" applyAlignment="1">
      <alignment horizontal="center" wrapText="1"/>
    </xf>
    <xf numFmtId="0" fontId="53" fillId="12" borderId="24" xfId="0" applyFont="1" applyFill="1" applyBorder="1" applyAlignment="1">
      <alignment vertical="center" wrapText="1"/>
    </xf>
    <xf numFmtId="164" fontId="55" fillId="0" borderId="24" xfId="1" applyNumberFormat="1" applyFont="1" applyFill="1" applyBorder="1" applyAlignment="1">
      <alignment horizontal="right" vertical="center" wrapText="1"/>
    </xf>
    <xf numFmtId="0" fontId="63" fillId="12" borderId="1" xfId="0" applyFont="1" applyFill="1" applyBorder="1" applyAlignment="1">
      <alignment horizontal="center" wrapText="1"/>
    </xf>
    <xf numFmtId="43" fontId="55" fillId="10" borderId="1" xfId="1" applyFont="1" applyFill="1" applyBorder="1" applyAlignment="1">
      <alignment horizontal="center" vertical="center"/>
    </xf>
    <xf numFmtId="0" fontId="55" fillId="0" borderId="22" xfId="8" applyFont="1" applyFill="1" applyBorder="1" applyAlignment="1">
      <alignment vertical="center" wrapText="1"/>
    </xf>
    <xf numFmtId="0" fontId="55" fillId="0" borderId="2" xfId="1" applyNumberFormat="1" applyFont="1" applyFill="1" applyBorder="1" applyAlignment="1">
      <alignment vertical="center"/>
    </xf>
    <xf numFmtId="169" fontId="55" fillId="10" borderId="2" xfId="1" applyNumberFormat="1" applyFont="1" applyFill="1" applyBorder="1" applyAlignment="1">
      <alignment vertical="center"/>
    </xf>
    <xf numFmtId="0" fontId="54" fillId="12" borderId="5" xfId="0" applyFont="1" applyFill="1" applyBorder="1"/>
    <xf numFmtId="43" fontId="55" fillId="0" borderId="28" xfId="1" applyFont="1" applyFill="1" applyBorder="1" applyAlignment="1">
      <alignment vertical="center" wrapText="1"/>
    </xf>
    <xf numFmtId="43" fontId="55" fillId="10" borderId="5" xfId="1" applyFont="1" applyFill="1" applyBorder="1" applyAlignment="1">
      <alignment vertical="center"/>
    </xf>
    <xf numFmtId="2" fontId="55" fillId="0" borderId="5" xfId="8" applyNumberFormat="1" applyFont="1" applyFill="1" applyBorder="1" applyAlignment="1">
      <alignment vertical="center" wrapText="1"/>
    </xf>
    <xf numFmtId="43" fontId="55" fillId="0" borderId="22" xfId="1" applyFont="1" applyFill="1" applyBorder="1" applyAlignment="1">
      <alignment vertical="center" wrapText="1"/>
    </xf>
    <xf numFmtId="43" fontId="55" fillId="10" borderId="2" xfId="1" applyFont="1" applyFill="1" applyBorder="1" applyAlignment="1">
      <alignment vertical="center"/>
    </xf>
    <xf numFmtId="0" fontId="55" fillId="0" borderId="2" xfId="8" applyFont="1" applyFill="1" applyBorder="1" applyAlignment="1">
      <alignment vertical="center" wrapText="1"/>
    </xf>
    <xf numFmtId="2" fontId="55" fillId="0" borderId="5" xfId="0" applyNumberFormat="1" applyFont="1" applyFill="1" applyBorder="1" applyAlignment="1">
      <alignment vertical="center"/>
    </xf>
    <xf numFmtId="164" fontId="55" fillId="0" borderId="5" xfId="1" applyNumberFormat="1" applyFont="1" applyFill="1" applyBorder="1" applyAlignment="1">
      <alignment vertical="center"/>
    </xf>
    <xf numFmtId="0" fontId="55" fillId="0" borderId="29" xfId="8" applyFont="1" applyFill="1" applyBorder="1" applyAlignment="1">
      <alignment vertical="center" wrapText="1"/>
    </xf>
    <xf numFmtId="0" fontId="54" fillId="0" borderId="5" xfId="0" applyFont="1" applyBorder="1" applyAlignment="1">
      <alignment horizontal="center" wrapText="1"/>
    </xf>
    <xf numFmtId="0" fontId="54" fillId="0" borderId="5" xfId="0" applyFont="1" applyBorder="1" applyAlignment="1">
      <alignment vertical="center" wrapText="1"/>
    </xf>
    <xf numFmtId="169" fontId="55" fillId="0" borderId="22" xfId="8" applyNumberFormat="1" applyFont="1" applyFill="1" applyBorder="1" applyAlignment="1">
      <alignment vertical="center" wrapText="1"/>
    </xf>
    <xf numFmtId="0" fontId="53" fillId="12" borderId="24" xfId="0" applyFont="1" applyFill="1" applyBorder="1" applyAlignment="1">
      <alignment horizontal="center" vertical="center" wrapText="1"/>
    </xf>
    <xf numFmtId="0" fontId="59" fillId="0" borderId="5" xfId="1" applyNumberFormat="1" applyFont="1" applyFill="1" applyBorder="1" applyAlignment="1">
      <alignment vertical="center"/>
    </xf>
    <xf numFmtId="169" fontId="55" fillId="10" borderId="5" xfId="1" applyNumberFormat="1" applyFont="1" applyFill="1" applyBorder="1" applyAlignment="1">
      <alignment vertical="center"/>
    </xf>
    <xf numFmtId="0" fontId="59" fillId="0" borderId="24" xfId="1" applyNumberFormat="1" applyFont="1" applyFill="1" applyBorder="1" applyAlignment="1">
      <alignment vertical="center"/>
    </xf>
    <xf numFmtId="169" fontId="55" fillId="10" borderId="24" xfId="1" applyNumberFormat="1" applyFont="1" applyFill="1" applyBorder="1" applyAlignment="1">
      <alignment vertical="center"/>
    </xf>
    <xf numFmtId="0" fontId="53" fillId="12" borderId="1" xfId="0" applyFont="1" applyFill="1" applyBorder="1" applyAlignment="1">
      <alignment horizontal="center" vertical="center" wrapText="1"/>
    </xf>
    <xf numFmtId="0" fontId="53" fillId="12" borderId="1" xfId="0" applyFont="1" applyFill="1" applyBorder="1" applyAlignment="1">
      <alignment vertical="center" wrapText="1"/>
    </xf>
    <xf numFmtId="0" fontId="53" fillId="12" borderId="1" xfId="0" applyFont="1" applyFill="1" applyBorder="1" applyAlignment="1">
      <alignment horizontal="center"/>
    </xf>
    <xf numFmtId="0" fontId="59" fillId="0" borderId="1" xfId="1" applyNumberFormat="1" applyFont="1" applyFill="1" applyBorder="1" applyAlignment="1">
      <alignment vertical="center"/>
    </xf>
    <xf numFmtId="169" fontId="55" fillId="10" borderId="1" xfId="1" applyNumberFormat="1" applyFont="1" applyFill="1" applyBorder="1" applyAlignment="1">
      <alignment vertical="center"/>
    </xf>
    <xf numFmtId="0" fontId="55" fillId="0" borderId="0" xfId="1" applyNumberFormat="1" applyFont="1" applyFill="1"/>
    <xf numFmtId="0" fontId="55" fillId="10" borderId="0" xfId="1" applyNumberFormat="1" applyFont="1" applyFill="1" applyAlignment="1">
      <alignment horizontal="center"/>
    </xf>
    <xf numFmtId="0" fontId="59" fillId="10" borderId="0" xfId="1" applyNumberFormat="1" applyFont="1" applyFill="1"/>
    <xf numFmtId="168" fontId="48" fillId="0" borderId="1" xfId="0" applyNumberFormat="1" applyFont="1" applyFill="1" applyBorder="1" applyAlignment="1" applyProtection="1">
      <alignment horizontal="center" vertical="center"/>
      <protection locked="0"/>
    </xf>
    <xf numFmtId="167" fontId="47" fillId="0" borderId="1" xfId="0" applyNumberFormat="1" applyFont="1" applyFill="1" applyBorder="1" applyAlignment="1" applyProtection="1">
      <alignment horizontal="center" vertical="center"/>
      <protection locked="0"/>
    </xf>
    <xf numFmtId="166" fontId="47" fillId="0" borderId="1" xfId="1" applyNumberFormat="1" applyFont="1" applyFill="1" applyBorder="1" applyAlignment="1" applyProtection="1">
      <alignment horizontal="center" vertical="center"/>
      <protection locked="0"/>
    </xf>
    <xf numFmtId="43" fontId="47" fillId="0" borderId="1" xfId="1" applyNumberFormat="1" applyFont="1" applyFill="1" applyBorder="1" applyAlignment="1" applyProtection="1">
      <alignment horizontal="center" vertical="center"/>
      <protection locked="0"/>
    </xf>
    <xf numFmtId="43" fontId="47" fillId="0" borderId="1" xfId="1" applyFont="1" applyFill="1" applyBorder="1" applyAlignment="1" applyProtection="1">
      <alignment horizontal="center" vertical="center"/>
      <protection locked="0"/>
    </xf>
    <xf numFmtId="168" fontId="48" fillId="10" borderId="1" xfId="0" applyNumberFormat="1" applyFont="1" applyFill="1" applyBorder="1" applyAlignment="1" applyProtection="1">
      <alignment horizontal="center" vertical="center"/>
      <protection locked="0"/>
    </xf>
    <xf numFmtId="0" fontId="48" fillId="0" borderId="1" xfId="0" applyFont="1" applyFill="1" applyBorder="1" applyAlignment="1" applyProtection="1">
      <alignment horizontal="center" vertical="center"/>
      <protection locked="0"/>
    </xf>
    <xf numFmtId="167" fontId="48" fillId="0" borderId="1" xfId="0" applyNumberFormat="1" applyFont="1" applyFill="1" applyBorder="1" applyAlignment="1" applyProtection="1">
      <alignment horizontal="center" vertical="center"/>
      <protection locked="0"/>
    </xf>
    <xf numFmtId="0" fontId="49" fillId="0" borderId="1" xfId="0" applyFont="1" applyFill="1" applyBorder="1" applyAlignment="1" applyProtection="1">
      <alignment horizontal="center" vertical="center"/>
      <protection locked="0"/>
    </xf>
    <xf numFmtId="3" fontId="58" fillId="10" borderId="19" xfId="1" applyNumberFormat="1" applyFont="1" applyFill="1" applyBorder="1" applyAlignment="1">
      <alignment horizontal="center"/>
    </xf>
    <xf numFmtId="0" fontId="55" fillId="10" borderId="2" xfId="1" applyNumberFormat="1" applyFont="1" applyFill="1" applyBorder="1" applyAlignment="1">
      <alignment horizontal="center" vertical="center"/>
    </xf>
    <xf numFmtId="164" fontId="55" fillId="10" borderId="5" xfId="1" applyNumberFormat="1" applyFont="1" applyFill="1" applyBorder="1" applyAlignment="1">
      <alignment horizontal="right" vertical="center"/>
    </xf>
    <xf numFmtId="0" fontId="55" fillId="10" borderId="5" xfId="8" applyFont="1" applyFill="1" applyBorder="1" applyAlignment="1">
      <alignment horizontal="right" vertical="center" wrapText="1"/>
    </xf>
    <xf numFmtId="164" fontId="55" fillId="10" borderId="5" xfId="1" quotePrefix="1" applyNumberFormat="1" applyFont="1" applyFill="1" applyBorder="1" applyAlignment="1">
      <alignment horizontal="right" vertical="center"/>
    </xf>
    <xf numFmtId="0" fontId="55" fillId="10" borderId="22" xfId="8" applyFont="1" applyFill="1" applyBorder="1" applyAlignment="1">
      <alignment horizontal="right" vertical="center" wrapText="1"/>
    </xf>
    <xf numFmtId="170" fontId="55" fillId="10" borderId="5" xfId="1" applyNumberFormat="1" applyFont="1" applyFill="1" applyBorder="1" applyAlignment="1">
      <alignment horizontal="right" vertical="center"/>
    </xf>
    <xf numFmtId="170" fontId="55" fillId="10" borderId="24" xfId="1" applyNumberFormat="1" applyFont="1" applyFill="1" applyBorder="1" applyAlignment="1">
      <alignment horizontal="right" vertical="center"/>
    </xf>
    <xf numFmtId="43" fontId="55" fillId="10" borderId="24" xfId="1" applyFont="1" applyFill="1" applyBorder="1" applyAlignment="1">
      <alignment horizontal="right" vertical="center" wrapText="1"/>
    </xf>
    <xf numFmtId="0" fontId="55" fillId="10" borderId="1" xfId="1" applyNumberFormat="1" applyFont="1" applyFill="1" applyBorder="1" applyAlignment="1">
      <alignment horizontal="center" vertical="center"/>
    </xf>
    <xf numFmtId="0" fontId="55" fillId="10" borderId="1" xfId="1" applyNumberFormat="1" applyFont="1" applyFill="1" applyBorder="1" applyAlignment="1">
      <alignment horizontal="right" vertical="center"/>
    </xf>
    <xf numFmtId="169" fontId="55" fillId="10" borderId="1" xfId="1" applyNumberFormat="1" applyFont="1" applyFill="1" applyBorder="1" applyAlignment="1">
      <alignment horizontal="right" vertical="center"/>
    </xf>
    <xf numFmtId="169" fontId="55" fillId="10" borderId="2" xfId="1" applyNumberFormat="1" applyFont="1" applyFill="1" applyBorder="1" applyAlignment="1">
      <alignment horizontal="right" vertical="center"/>
    </xf>
    <xf numFmtId="164" fontId="55" fillId="10" borderId="24" xfId="1" applyNumberFormat="1" applyFont="1" applyFill="1" applyBorder="1" applyAlignment="1">
      <alignment horizontal="right" vertical="center" wrapText="1"/>
    </xf>
    <xf numFmtId="169" fontId="55" fillId="10" borderId="1" xfId="1" applyNumberFormat="1" applyFont="1" applyFill="1" applyBorder="1" applyAlignment="1">
      <alignment horizontal="center" vertical="center"/>
    </xf>
    <xf numFmtId="0" fontId="55" fillId="10" borderId="2" xfId="1" applyNumberFormat="1" applyFont="1" applyFill="1" applyBorder="1" applyAlignment="1">
      <alignment vertical="center"/>
    </xf>
    <xf numFmtId="0" fontId="55" fillId="10" borderId="5" xfId="1" applyNumberFormat="1" applyFont="1" applyFill="1" applyBorder="1" applyAlignment="1">
      <alignment vertical="center"/>
    </xf>
    <xf numFmtId="43" fontId="55" fillId="10" borderId="24" xfId="1" applyFont="1" applyFill="1" applyBorder="1" applyAlignment="1">
      <alignment vertical="center"/>
    </xf>
    <xf numFmtId="43" fontId="55" fillId="10" borderId="5" xfId="1" applyFont="1" applyFill="1" applyBorder="1" applyAlignment="1">
      <alignment vertical="center" wrapText="1"/>
    </xf>
    <xf numFmtId="43" fontId="55" fillId="10" borderId="22" xfId="1" applyFont="1" applyFill="1" applyBorder="1" applyAlignment="1">
      <alignment vertical="center" wrapText="1"/>
    </xf>
    <xf numFmtId="43" fontId="55" fillId="10" borderId="2" xfId="1" applyFont="1" applyFill="1" applyBorder="1" applyAlignment="1">
      <alignment vertical="center" wrapText="1"/>
    </xf>
    <xf numFmtId="0" fontId="55" fillId="10" borderId="22" xfId="1" applyNumberFormat="1" applyFont="1" applyFill="1" applyBorder="1" applyAlignment="1">
      <alignment horizontal="center" vertical="center"/>
    </xf>
    <xf numFmtId="0" fontId="55" fillId="10" borderId="29" xfId="1" applyNumberFormat="1" applyFont="1" applyFill="1" applyBorder="1" applyAlignment="1">
      <alignment horizontal="center" vertical="center"/>
    </xf>
    <xf numFmtId="2" fontId="59" fillId="10" borderId="24" xfId="8" applyNumberFormat="1" applyFont="1" applyFill="1" applyBorder="1" applyAlignment="1">
      <alignment vertical="center" wrapText="1"/>
    </xf>
    <xf numFmtId="2" fontId="64" fillId="10" borderId="2" xfId="8" applyNumberFormat="1" applyFont="1" applyFill="1" applyBorder="1" applyAlignment="1">
      <alignment vertical="center" wrapText="1"/>
    </xf>
    <xf numFmtId="2" fontId="59" fillId="10" borderId="5" xfId="8" applyNumberFormat="1" applyFont="1" applyFill="1" applyBorder="1" applyAlignment="1">
      <alignment vertical="center" wrapText="1"/>
    </xf>
    <xf numFmtId="164" fontId="55" fillId="10" borderId="5" xfId="1" applyNumberFormat="1" applyFont="1" applyFill="1" applyBorder="1" applyAlignment="1">
      <alignment vertical="center"/>
    </xf>
    <xf numFmtId="43" fontId="55" fillId="10" borderId="28" xfId="1" applyFont="1" applyFill="1" applyBorder="1" applyAlignment="1">
      <alignment vertical="center" wrapText="1"/>
    </xf>
    <xf numFmtId="171" fontId="55" fillId="10" borderId="5" xfId="1" applyNumberFormat="1" applyFont="1" applyFill="1" applyBorder="1" applyAlignment="1">
      <alignment vertical="center"/>
    </xf>
    <xf numFmtId="0" fontId="55" fillId="10" borderId="22" xfId="1" applyNumberFormat="1" applyFont="1" applyFill="1" applyBorder="1" applyAlignment="1">
      <alignment vertical="center" wrapText="1"/>
    </xf>
    <xf numFmtId="0" fontId="55" fillId="10" borderId="24" xfId="1" applyNumberFormat="1" applyFont="1" applyFill="1" applyBorder="1" applyAlignment="1">
      <alignment vertical="center"/>
    </xf>
    <xf numFmtId="0" fontId="55" fillId="10" borderId="1" xfId="1" applyNumberFormat="1" applyFont="1" applyFill="1" applyBorder="1" applyAlignment="1">
      <alignment vertical="center"/>
    </xf>
    <xf numFmtId="0" fontId="6" fillId="10" borderId="7" xfId="0" applyFont="1" applyFill="1" applyBorder="1" applyAlignment="1">
      <alignment horizontal="center"/>
    </xf>
    <xf numFmtId="1" fontId="52" fillId="10" borderId="0" xfId="7" applyFont="1" applyFill="1" applyAlignment="1">
      <alignment horizontal="left"/>
    </xf>
    <xf numFmtId="167" fontId="56" fillId="10" borderId="0" xfId="7" applyNumberFormat="1" applyFont="1" applyFill="1" applyBorder="1" applyAlignment="1">
      <alignment horizontal="center" wrapText="1"/>
    </xf>
    <xf numFmtId="1" fontId="6" fillId="10" borderId="0" xfId="7" applyFont="1" applyFill="1" applyBorder="1" applyAlignment="1">
      <alignment horizontal="center"/>
    </xf>
    <xf numFmtId="1" fontId="57" fillId="10" borderId="8" xfId="7" applyFont="1" applyFill="1" applyBorder="1" applyAlignment="1">
      <alignment horizontal="center" vertical="center"/>
    </xf>
    <xf numFmtId="1" fontId="57" fillId="10" borderId="4" xfId="7" applyFont="1" applyFill="1" applyBorder="1" applyAlignment="1">
      <alignment horizontal="center" vertical="center"/>
    </xf>
    <xf numFmtId="0" fontId="57" fillId="10" borderId="8" xfId="8" applyFont="1" applyFill="1" applyBorder="1" applyAlignment="1">
      <alignment horizontal="center" vertical="center" wrapText="1"/>
    </xf>
    <xf numFmtId="0" fontId="57" fillId="10" borderId="4" xfId="8" applyFont="1" applyFill="1" applyBorder="1" applyAlignment="1">
      <alignment horizontal="center" vertical="center" wrapText="1"/>
    </xf>
    <xf numFmtId="0" fontId="58" fillId="0" borderId="8" xfId="1" applyNumberFormat="1" applyFont="1" applyFill="1" applyBorder="1" applyAlignment="1">
      <alignment horizontal="center" vertical="center" wrapText="1"/>
    </xf>
    <xf numFmtId="0" fontId="58" fillId="0" borderId="4" xfId="1" applyNumberFormat="1" applyFont="1" applyFill="1" applyBorder="1" applyAlignment="1">
      <alignment horizontal="center" vertical="center" wrapText="1"/>
    </xf>
    <xf numFmtId="0" fontId="58" fillId="10" borderId="9" xfId="1" applyNumberFormat="1" applyFont="1" applyFill="1" applyBorder="1" applyAlignment="1">
      <alignment horizontal="center" vertical="center" wrapText="1"/>
    </xf>
    <xf numFmtId="0" fontId="58" fillId="10" borderId="10" xfId="1" applyNumberFormat="1" applyFont="1" applyFill="1" applyBorder="1" applyAlignment="1">
      <alignment horizontal="center" vertical="center" wrapText="1"/>
    </xf>
    <xf numFmtId="0" fontId="58" fillId="10" borderId="11" xfId="1" applyNumberFormat="1" applyFont="1" applyFill="1" applyBorder="1" applyAlignment="1">
      <alignment horizontal="center" vertical="center" wrapText="1"/>
    </xf>
    <xf numFmtId="0" fontId="58" fillId="10" borderId="8" xfId="9" applyFont="1" applyFill="1" applyBorder="1" applyAlignment="1">
      <alignment horizontal="center" vertical="center" wrapText="1"/>
    </xf>
    <xf numFmtId="0" fontId="58" fillId="10" borderId="4" xfId="9" applyFont="1" applyFill="1" applyBorder="1" applyAlignment="1">
      <alignment horizontal="center" vertical="center" wrapText="1"/>
    </xf>
    <xf numFmtId="0" fontId="53" fillId="10" borderId="25" xfId="8" applyFont="1" applyFill="1" applyBorder="1" applyAlignment="1">
      <alignment horizontal="center" vertical="center" wrapText="1"/>
    </xf>
    <xf numFmtId="0" fontId="53" fillId="10" borderId="26" xfId="8" applyFont="1" applyFill="1" applyBorder="1" applyAlignment="1">
      <alignment horizontal="center" vertical="center" wrapText="1"/>
    </xf>
    <xf numFmtId="0" fontId="53" fillId="10" borderId="27" xfId="8" applyFont="1" applyFill="1" applyBorder="1" applyAlignment="1">
      <alignment horizontal="center" vertical="center" wrapText="1"/>
    </xf>
    <xf numFmtId="167" fontId="55" fillId="10" borderId="21" xfId="1" applyNumberFormat="1" applyFont="1" applyFill="1" applyBorder="1" applyAlignment="1">
      <alignment horizontal="center" vertical="center" wrapText="1"/>
    </xf>
    <xf numFmtId="167" fontId="55" fillId="10" borderId="30" xfId="1" applyNumberFormat="1" applyFont="1" applyFill="1" applyBorder="1" applyAlignment="1">
      <alignment horizontal="center" vertical="center" wrapText="1"/>
    </xf>
    <xf numFmtId="167" fontId="55" fillId="10" borderId="22" xfId="1" applyNumberFormat="1" applyFont="1" applyFill="1" applyBorder="1" applyAlignment="1">
      <alignment horizontal="center" vertical="center" wrapText="1"/>
    </xf>
    <xf numFmtId="0" fontId="55" fillId="10" borderId="25" xfId="1" applyNumberFormat="1" applyFont="1" applyFill="1" applyBorder="1" applyAlignment="1">
      <alignment horizontal="center" vertical="center" wrapText="1"/>
    </xf>
    <xf numFmtId="0" fontId="55" fillId="10" borderId="27" xfId="1" applyNumberFormat="1" applyFont="1" applyFill="1" applyBorder="1" applyAlignment="1">
      <alignment horizontal="center" vertical="center" wrapText="1"/>
    </xf>
    <xf numFmtId="167" fontId="55" fillId="10" borderId="9" xfId="1" applyNumberFormat="1" applyFont="1" applyFill="1" applyBorder="1" applyAlignment="1">
      <alignment horizontal="center" vertical="center" wrapText="1"/>
    </xf>
    <xf numFmtId="167" fontId="55" fillId="10" borderId="10" xfId="1" applyNumberFormat="1" applyFont="1" applyFill="1" applyBorder="1" applyAlignment="1">
      <alignment horizontal="center" vertical="center" wrapText="1"/>
    </xf>
    <xf numFmtId="167" fontId="55" fillId="10" borderId="11" xfId="1" applyNumberFormat="1" applyFont="1" applyFill="1" applyBorder="1" applyAlignment="1">
      <alignment horizontal="center" vertical="center" wrapText="1"/>
    </xf>
    <xf numFmtId="166" fontId="47" fillId="0" borderId="1" xfId="1" applyNumberFormat="1" applyFont="1" applyFill="1" applyBorder="1" applyAlignment="1" applyProtection="1">
      <alignment horizontal="center" vertical="center" wrapText="1"/>
    </xf>
    <xf numFmtId="166" fontId="47" fillId="11" borderId="1" xfId="1" applyNumberFormat="1" applyFont="1" applyFill="1" applyBorder="1" applyAlignment="1" applyProtection="1">
      <alignment horizontal="center" vertical="center" wrapText="1"/>
    </xf>
    <xf numFmtId="166" fontId="31" fillId="0" borderId="0" xfId="0" applyNumberFormat="1" applyFont="1" applyFill="1" applyAlignment="1" applyProtection="1">
      <alignment horizontal="center"/>
      <protection locked="0"/>
    </xf>
    <xf numFmtId="166" fontId="31" fillId="0" borderId="0" xfId="1" applyNumberFormat="1" applyFont="1" applyFill="1" applyAlignment="1" applyProtection="1">
      <alignment horizontal="center"/>
      <protection locked="0"/>
    </xf>
    <xf numFmtId="166" fontId="33" fillId="0" borderId="0" xfId="1" applyNumberFormat="1" applyFont="1" applyFill="1" applyBorder="1" applyAlignment="1" applyProtection="1">
      <alignment horizontal="center" vertical="center"/>
      <protection locked="0"/>
    </xf>
    <xf numFmtId="166" fontId="42" fillId="0" borderId="12" xfId="1" applyNumberFormat="1" applyFont="1" applyFill="1" applyBorder="1" applyAlignment="1" applyProtection="1">
      <alignment horizontal="left" vertical="center"/>
      <protection locked="0"/>
    </xf>
    <xf numFmtId="166" fontId="47" fillId="0" borderId="1" xfId="1" applyNumberFormat="1" applyFont="1" applyFill="1" applyBorder="1" applyAlignment="1" applyProtection="1">
      <alignment horizontal="center" vertical="center"/>
    </xf>
    <xf numFmtId="166" fontId="47" fillId="10" borderId="1" xfId="1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center"/>
      <protection locked="0"/>
    </xf>
    <xf numFmtId="166" fontId="33" fillId="0" borderId="1" xfId="1" applyNumberFormat="1" applyFont="1" applyFill="1" applyBorder="1" applyAlignment="1" applyProtection="1">
      <alignment horizontal="center" vertical="center" wrapText="1"/>
    </xf>
    <xf numFmtId="43" fontId="33" fillId="0" borderId="1" xfId="1" applyNumberFormat="1" applyFont="1" applyFill="1" applyBorder="1" applyAlignment="1" applyProtection="1">
      <alignment horizontal="center" vertical="center" wrapText="1"/>
    </xf>
    <xf numFmtId="166" fontId="34" fillId="0" borderId="0" xfId="1" applyNumberFormat="1" applyFont="1" applyFill="1" applyBorder="1" applyAlignment="1" applyProtection="1">
      <alignment horizontal="center" vertical="center"/>
      <protection locked="0"/>
    </xf>
    <xf numFmtId="166" fontId="33" fillId="0" borderId="1" xfId="1" applyNumberFormat="1" applyFont="1" applyFill="1" applyBorder="1" applyAlignment="1" applyProtection="1">
      <alignment horizontal="center" vertical="center"/>
    </xf>
    <xf numFmtId="166" fontId="33" fillId="0" borderId="13" xfId="1" applyNumberFormat="1" applyFont="1" applyFill="1" applyBorder="1" applyAlignment="1" applyProtection="1">
      <alignment horizontal="center" vertical="center" wrapText="1"/>
      <protection locked="0"/>
    </xf>
    <xf numFmtId="166" fontId="33" fillId="0" borderId="14" xfId="1" applyNumberFormat="1" applyFont="1" applyFill="1" applyBorder="1" applyAlignment="1" applyProtection="1">
      <alignment horizontal="center" vertical="center" wrapText="1"/>
      <protection locked="0"/>
    </xf>
    <xf numFmtId="166" fontId="33" fillId="0" borderId="17" xfId="1" applyNumberFormat="1" applyFont="1" applyFill="1" applyBorder="1" applyAlignment="1" applyProtection="1">
      <alignment horizontal="center" vertical="center" wrapText="1"/>
      <protection locked="0"/>
    </xf>
    <xf numFmtId="166" fontId="33" fillId="0" borderId="18" xfId="1" applyNumberFormat="1" applyFont="1" applyFill="1" applyBorder="1" applyAlignment="1" applyProtection="1">
      <alignment horizontal="center" vertical="center" wrapText="1"/>
      <protection locked="0"/>
    </xf>
    <xf numFmtId="166" fontId="33" fillId="0" borderId="8" xfId="1" applyNumberFormat="1" applyFont="1" applyFill="1" applyBorder="1" applyAlignment="1" applyProtection="1">
      <alignment horizontal="center" vertical="center" wrapText="1"/>
    </xf>
    <xf numFmtId="166" fontId="33" fillId="0" borderId="4" xfId="1" applyNumberFormat="1" applyFont="1" applyFill="1" applyBorder="1" applyAlignment="1" applyProtection="1">
      <alignment horizontal="center" vertical="center" wrapText="1"/>
    </xf>
    <xf numFmtId="166" fontId="33" fillId="0" borderId="9" xfId="1" applyNumberFormat="1" applyFont="1" applyFill="1" applyBorder="1" applyAlignment="1" applyProtection="1">
      <alignment horizontal="center" vertical="center" wrapText="1"/>
    </xf>
    <xf numFmtId="166" fontId="33" fillId="0" borderId="10" xfId="1" applyNumberFormat="1" applyFont="1" applyFill="1" applyBorder="1" applyAlignment="1" applyProtection="1">
      <alignment horizontal="center" vertical="center" wrapText="1"/>
    </xf>
    <xf numFmtId="166" fontId="33" fillId="0" borderId="11" xfId="1" applyNumberFormat="1" applyFont="1" applyFill="1" applyBorder="1" applyAlignment="1" applyProtection="1">
      <alignment horizontal="center" vertical="center" wrapText="1"/>
    </xf>
    <xf numFmtId="43" fontId="33" fillId="0" borderId="8" xfId="1" applyNumberFormat="1" applyFont="1" applyFill="1" applyBorder="1" applyAlignment="1" applyProtection="1">
      <alignment horizontal="center" vertical="center" wrapText="1"/>
    </xf>
    <xf numFmtId="43" fontId="33" fillId="0" borderId="4" xfId="1" applyNumberFormat="1" applyFont="1" applyFill="1" applyBorder="1" applyAlignment="1" applyProtection="1">
      <alignment horizontal="center" vertical="center" wrapText="1"/>
    </xf>
    <xf numFmtId="166" fontId="5" fillId="0" borderId="0" xfId="1" applyNumberFormat="1" applyFont="1" applyFill="1" applyAlignment="1" applyProtection="1">
      <alignment horizontal="center"/>
      <protection locked="0"/>
    </xf>
    <xf numFmtId="166" fontId="5" fillId="10" borderId="0" xfId="1" applyNumberFormat="1" applyFont="1" applyFill="1" applyAlignment="1" applyProtection="1">
      <alignment horizontal="center"/>
      <protection locked="0"/>
    </xf>
    <xf numFmtId="166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166" fontId="2" fillId="3" borderId="1" xfId="1" applyNumberFormat="1" applyFont="1" applyFill="1" applyBorder="1" applyAlignment="1" applyProtection="1">
      <alignment horizontal="center" vertical="center" wrapText="1"/>
    </xf>
    <xf numFmtId="166" fontId="2" fillId="3" borderId="8" xfId="1" applyNumberFormat="1" applyFont="1" applyFill="1" applyBorder="1" applyAlignment="1" applyProtection="1">
      <alignment horizontal="center" vertical="center" wrapText="1"/>
    </xf>
    <xf numFmtId="166" fontId="2" fillId="3" borderId="4" xfId="1" applyNumberFormat="1" applyFont="1" applyFill="1" applyBorder="1" applyAlignment="1" applyProtection="1">
      <alignment horizontal="center" vertical="center" wrapText="1"/>
    </xf>
    <xf numFmtId="166" fontId="2" fillId="3" borderId="1" xfId="1" applyNumberFormat="1" applyFont="1" applyFill="1" applyBorder="1" applyAlignment="1" applyProtection="1">
      <alignment horizontal="center" vertical="center"/>
    </xf>
    <xf numFmtId="166" fontId="7" fillId="0" borderId="0" xfId="1" applyNumberFormat="1" applyFont="1" applyFill="1" applyAlignment="1" applyProtection="1">
      <alignment horizontal="center"/>
      <protection locked="0"/>
    </xf>
    <xf numFmtId="166" fontId="7" fillId="2" borderId="0" xfId="1" applyNumberFormat="1" applyFont="1" applyFill="1" applyAlignment="1" applyProtection="1">
      <alignment horizontal="center"/>
      <protection locked="0"/>
    </xf>
    <xf numFmtId="43" fontId="2" fillId="3" borderId="8" xfId="1" applyNumberFormat="1" applyFont="1" applyFill="1" applyBorder="1" applyAlignment="1" applyProtection="1">
      <alignment horizontal="center" vertical="center" wrapText="1"/>
    </xf>
    <xf numFmtId="43" fontId="2" fillId="3" borderId="4" xfId="1" applyNumberFormat="1" applyFont="1" applyFill="1" applyBorder="1" applyAlignment="1" applyProtection="1">
      <alignment horizontal="center" vertical="center" wrapText="1"/>
    </xf>
    <xf numFmtId="166" fontId="2" fillId="2" borderId="0" xfId="1" applyNumberFormat="1" applyFont="1" applyFill="1" applyBorder="1" applyAlignment="1" applyProtection="1">
      <alignment horizontal="center" vertical="center"/>
      <protection locked="0"/>
    </xf>
    <xf numFmtId="166" fontId="6" fillId="2" borderId="0" xfId="1" applyNumberFormat="1" applyFont="1" applyFill="1" applyBorder="1" applyAlignment="1" applyProtection="1">
      <alignment horizontal="center" vertical="center"/>
      <protection locked="0"/>
    </xf>
    <xf numFmtId="166" fontId="2" fillId="3" borderId="13" xfId="1" applyNumberFormat="1" applyFont="1" applyFill="1" applyBorder="1" applyAlignment="1" applyProtection="1">
      <alignment horizontal="center" vertical="center" wrapText="1"/>
    </xf>
    <xf numFmtId="166" fontId="2" fillId="3" borderId="7" xfId="1" applyNumberFormat="1" applyFont="1" applyFill="1" applyBorder="1" applyAlignment="1" applyProtection="1">
      <alignment horizontal="center" vertical="center" wrapText="1"/>
    </xf>
    <xf numFmtId="166" fontId="2" fillId="3" borderId="14" xfId="1" applyNumberFormat="1" applyFont="1" applyFill="1" applyBorder="1" applyAlignment="1" applyProtection="1">
      <alignment horizontal="center" vertical="center" wrapText="1"/>
    </xf>
    <xf numFmtId="166" fontId="2" fillId="3" borderId="15" xfId="1" applyNumberFormat="1" applyFont="1" applyFill="1" applyBorder="1" applyAlignment="1" applyProtection="1">
      <alignment horizontal="center" vertical="center" wrapText="1"/>
    </xf>
    <xf numFmtId="166" fontId="2" fillId="3" borderId="12" xfId="1" applyNumberFormat="1" applyFont="1" applyFill="1" applyBorder="1" applyAlignment="1" applyProtection="1">
      <alignment horizontal="center" vertical="center" wrapText="1"/>
    </xf>
    <xf numFmtId="166" fontId="2" fillId="3" borderId="16" xfId="1" applyNumberFormat="1" applyFont="1" applyFill="1" applyBorder="1" applyAlignment="1" applyProtection="1">
      <alignment horizontal="center" vertical="center" wrapText="1"/>
    </xf>
    <xf numFmtId="166" fontId="2" fillId="3" borderId="9" xfId="1" applyNumberFormat="1" applyFont="1" applyFill="1" applyBorder="1" applyAlignment="1" applyProtection="1">
      <alignment horizontal="center" vertical="center" wrapText="1"/>
    </xf>
    <xf numFmtId="166" fontId="2" fillId="3" borderId="10" xfId="1" applyNumberFormat="1" applyFont="1" applyFill="1" applyBorder="1" applyAlignment="1" applyProtection="1">
      <alignment horizontal="center" vertical="center" wrapText="1"/>
    </xf>
    <xf numFmtId="166" fontId="2" fillId="3" borderId="11" xfId="1" applyNumberFormat="1" applyFont="1" applyFill="1" applyBorder="1" applyAlignment="1" applyProtection="1">
      <alignment horizontal="center" vertical="center" wrapText="1"/>
    </xf>
    <xf numFmtId="166" fontId="2" fillId="3" borderId="13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4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7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8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8" xfId="1" applyNumberFormat="1" applyFont="1" applyFill="1" applyBorder="1" applyAlignment="1" applyProtection="1">
      <alignment horizontal="center" vertical="center"/>
    </xf>
    <xf numFmtId="166" fontId="2" fillId="3" borderId="4" xfId="1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omma 2" xfId="2"/>
    <cellStyle name="Comma 3" xfId="3"/>
    <cellStyle name="Comma 3 2" xfId="4"/>
    <cellStyle name="Comma 4" xfId="5"/>
    <cellStyle name="Normal" xfId="0" builtinId="0"/>
    <cellStyle name="Normal 2" xfId="6"/>
    <cellStyle name="Normal_Bieu BC cap Huyen - Xa " xfId="7"/>
    <cellStyle name="Normal_Sheet1" xfId="9"/>
    <cellStyle name="Normal_Shee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wnloads\TK%20KCB%206%20thang%20SK%20cac%20&#272;V\B&#7842;NG%20S&#7888;%20LI&#7878;U%20TH&#193;NG%206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PC\Downloads\bc%202017\B&#225;o%20c&#225;o%20th&#225;ng%2010-2017\b&#225;o%20c&#225;o%20th&#7889;ng%20k&#234;%20y%20t&#7871;%20th&#225;ng%2010%20n&#259;m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át triển sự nghiệp"/>
      <sheetName val="2017_KẾT QUẢ ĐIỀU TRỊ LAO"/>
      <sheetName val="KET QUẢ 2016"/>
      <sheetName val="2017_CÔNG TÁC PHÁT HIỆN"/>
      <sheetName val="ARI"/>
      <sheetName val="TH 2016"/>
      <sheetName val="Sheet2"/>
      <sheetName val="SO SANH CHUONG TRINH LAO"/>
      <sheetName val="SO SANH KHAM CHUA BENH"/>
      <sheetName val="2017_PHÒNG KHÁM"/>
      <sheetName val="2017_KHOA PHỔI"/>
      <sheetName val="2017_ĐIỀU TRỊ TOÀN VIỆN"/>
      <sheetName val="Sheet3"/>
      <sheetName val="2017_LAO NG.PHỔI"/>
      <sheetName val="2017_HỒI SỨC CẤP CỨU"/>
      <sheetName val="Sheet5"/>
      <sheetName val="2017_KHOA LAO"/>
      <sheetName val="HIV"/>
      <sheetName val="2017công tác cận lâm sàng"/>
      <sheetName val="báo cáo theo giới và nhóm tuổi"/>
      <sheetName val="KHÁM BỆN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H5">
            <v>112</v>
          </cell>
        </row>
        <row r="6">
          <cell r="H6">
            <v>78</v>
          </cell>
        </row>
        <row r="7">
          <cell r="H7">
            <v>124</v>
          </cell>
        </row>
        <row r="8">
          <cell r="H8">
            <v>156</v>
          </cell>
        </row>
        <row r="9">
          <cell r="H9">
            <v>187</v>
          </cell>
        </row>
        <row r="10">
          <cell r="H10">
            <v>149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 KCB 139_2011"/>
      <sheetName val=" Tien KCB 139_2012"/>
      <sheetName val=" TH-CTKH_2017"/>
      <sheetName val="Dat Chuan"/>
      <sheetName val="The BHYT_2012"/>
      <sheetName val="Xet Nghiem"/>
      <sheetName val="Cao Cao_UBND Huyen"/>
      <sheetName val="BC_HIV"/>
      <sheetName val="Ty Le Sinh"/>
      <sheetName val="So Lieu CT 06 TW"/>
    </sheetNames>
    <sheetDataSet>
      <sheetData sheetId="0" refreshError="1"/>
      <sheetData sheetId="1" refreshError="1"/>
      <sheetData sheetId="2" refreshError="1">
        <row r="14">
          <cell r="O14">
            <v>14384</v>
          </cell>
          <cell r="Q14">
            <v>12516</v>
          </cell>
        </row>
        <row r="17">
          <cell r="O17">
            <v>701</v>
          </cell>
          <cell r="Q17">
            <v>900</v>
          </cell>
        </row>
        <row r="20">
          <cell r="O20">
            <v>7688</v>
          </cell>
          <cell r="Q20">
            <v>7766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2"/>
  <sheetViews>
    <sheetView topLeftCell="A28" workbookViewId="0">
      <selection activeCell="K5" sqref="K5:K6"/>
    </sheetView>
  </sheetViews>
  <sheetFormatPr defaultRowHeight="12.75" x14ac:dyDescent="0.2"/>
  <cols>
    <col min="1" max="1" width="5.140625" style="168" customWidth="1"/>
    <col min="2" max="2" width="34.5703125" style="168" customWidth="1"/>
    <col min="3" max="3" width="11.140625" style="168" customWidth="1"/>
    <col min="4" max="4" width="13" style="291" customWidth="1"/>
    <col min="5" max="5" width="11.85546875" style="292" customWidth="1"/>
    <col min="6" max="6" width="12" style="292" hidden="1" customWidth="1"/>
    <col min="7" max="7" width="12" style="292" customWidth="1"/>
    <col min="8" max="8" width="11.28515625" style="292" bestFit="1" customWidth="1"/>
    <col min="9" max="9" width="12.28515625" style="293" customWidth="1"/>
    <col min="10" max="10" width="9.140625" style="293"/>
    <col min="11" max="11" width="14" style="168" customWidth="1"/>
    <col min="12" max="12" width="12" style="168" customWidth="1"/>
    <col min="13" max="16384" width="9.140625" style="168"/>
  </cols>
  <sheetData>
    <row r="1" spans="1:14" ht="15.75" x14ac:dyDescent="0.25">
      <c r="A1" s="336" t="s">
        <v>72</v>
      </c>
      <c r="B1" s="336"/>
      <c r="C1" s="164"/>
      <c r="D1" s="165"/>
      <c r="E1" s="166"/>
      <c r="F1" s="166"/>
      <c r="G1" s="166"/>
      <c r="H1" s="166"/>
      <c r="I1" s="167"/>
      <c r="J1" s="167"/>
      <c r="K1" s="164"/>
      <c r="L1" s="164"/>
    </row>
    <row r="2" spans="1:14" ht="15.75" customHeight="1" x14ac:dyDescent="0.25">
      <c r="A2" s="337" t="s">
        <v>175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4" ht="15.75" x14ac:dyDescent="0.25">
      <c r="A3" s="338" t="s">
        <v>176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4" ht="15.75" x14ac:dyDescent="0.25">
      <c r="A4" s="169"/>
      <c r="B4" s="169"/>
      <c r="C4" s="169"/>
      <c r="D4" s="170"/>
      <c r="E4" s="169"/>
      <c r="F4" s="169"/>
      <c r="G4" s="169"/>
      <c r="H4" s="169"/>
      <c r="I4" s="169"/>
      <c r="J4" s="169"/>
      <c r="K4" s="169"/>
      <c r="L4" s="169"/>
    </row>
    <row r="5" spans="1:14" ht="12.75" customHeight="1" x14ac:dyDescent="0.2">
      <c r="A5" s="339" t="s">
        <v>32</v>
      </c>
      <c r="B5" s="341" t="s">
        <v>73</v>
      </c>
      <c r="C5" s="341" t="s">
        <v>74</v>
      </c>
      <c r="D5" s="343" t="s">
        <v>75</v>
      </c>
      <c r="E5" s="345" t="s">
        <v>76</v>
      </c>
      <c r="F5" s="346"/>
      <c r="G5" s="346"/>
      <c r="H5" s="347"/>
      <c r="I5" s="345" t="s">
        <v>77</v>
      </c>
      <c r="J5" s="347"/>
      <c r="K5" s="348" t="s">
        <v>78</v>
      </c>
      <c r="L5" s="348" t="s">
        <v>79</v>
      </c>
    </row>
    <row r="6" spans="1:14" ht="85.5" customHeight="1" x14ac:dyDescent="0.2">
      <c r="A6" s="340"/>
      <c r="B6" s="342"/>
      <c r="C6" s="342"/>
      <c r="D6" s="344"/>
      <c r="E6" s="171" t="s">
        <v>80</v>
      </c>
      <c r="F6" s="171" t="s">
        <v>81</v>
      </c>
      <c r="G6" s="171" t="s">
        <v>82</v>
      </c>
      <c r="H6" s="171" t="s">
        <v>83</v>
      </c>
      <c r="I6" s="171" t="s">
        <v>84</v>
      </c>
      <c r="J6" s="171" t="s">
        <v>85</v>
      </c>
      <c r="K6" s="349"/>
      <c r="L6" s="349"/>
    </row>
    <row r="7" spans="1:14" x14ac:dyDescent="0.2">
      <c r="A7" s="172" t="s">
        <v>86</v>
      </c>
      <c r="B7" s="172" t="s">
        <v>87</v>
      </c>
      <c r="C7" s="172" t="s">
        <v>88</v>
      </c>
      <c r="D7" s="173">
        <v>1</v>
      </c>
      <c r="E7" s="174">
        <v>2</v>
      </c>
      <c r="F7" s="174">
        <v>5</v>
      </c>
      <c r="G7" s="174"/>
      <c r="H7" s="174">
        <v>6</v>
      </c>
      <c r="I7" s="175">
        <v>7</v>
      </c>
      <c r="J7" s="175">
        <v>8</v>
      </c>
      <c r="K7" s="172">
        <v>9</v>
      </c>
      <c r="L7" s="172">
        <v>10</v>
      </c>
    </row>
    <row r="8" spans="1:14" ht="13.5" x14ac:dyDescent="0.25">
      <c r="A8" s="176"/>
      <c r="B8" s="176"/>
      <c r="C8" s="176"/>
      <c r="D8" s="177"/>
      <c r="E8" s="303"/>
      <c r="F8" s="178"/>
      <c r="G8" s="178"/>
      <c r="H8" s="178"/>
      <c r="I8" s="179"/>
      <c r="J8" s="179"/>
      <c r="K8" s="176"/>
      <c r="L8" s="176"/>
      <c r="N8" s="180"/>
    </row>
    <row r="9" spans="1:14" x14ac:dyDescent="0.2">
      <c r="A9" s="181" t="s">
        <v>11</v>
      </c>
      <c r="B9" s="182" t="s">
        <v>89</v>
      </c>
      <c r="C9" s="182"/>
      <c r="D9" s="183"/>
      <c r="E9" s="182"/>
      <c r="F9" s="182"/>
      <c r="G9" s="182"/>
      <c r="H9" s="182"/>
      <c r="I9" s="182"/>
      <c r="J9" s="182"/>
      <c r="K9" s="182"/>
      <c r="L9" s="182"/>
    </row>
    <row r="10" spans="1:14" x14ac:dyDescent="0.2">
      <c r="A10" s="184">
        <v>1</v>
      </c>
      <c r="B10" s="185" t="s">
        <v>90</v>
      </c>
      <c r="C10" s="186"/>
      <c r="D10" s="187"/>
      <c r="E10" s="304"/>
      <c r="F10" s="188"/>
      <c r="G10" s="188"/>
      <c r="H10" s="188"/>
      <c r="I10" s="189"/>
      <c r="J10" s="190"/>
      <c r="K10" s="191"/>
      <c r="L10" s="192"/>
    </row>
    <row r="11" spans="1:14" x14ac:dyDescent="0.2">
      <c r="A11" s="193"/>
      <c r="B11" s="194" t="s">
        <v>91</v>
      </c>
      <c r="C11" s="195" t="s">
        <v>92</v>
      </c>
      <c r="D11" s="196">
        <f t="shared" ref="D11" si="0">D13+D14</f>
        <v>484146</v>
      </c>
      <c r="E11" s="198">
        <f>E13+E14</f>
        <v>490022</v>
      </c>
      <c r="F11" s="198">
        <f>F13+F14</f>
        <v>488360</v>
      </c>
      <c r="G11" s="198">
        <f>G13+G14</f>
        <v>489945</v>
      </c>
      <c r="H11" s="198">
        <f>H13+H14</f>
        <v>489945</v>
      </c>
      <c r="I11" s="189"/>
      <c r="J11" s="190"/>
      <c r="K11" s="199"/>
      <c r="L11" s="200"/>
    </row>
    <row r="12" spans="1:14" x14ac:dyDescent="0.2">
      <c r="A12" s="193"/>
      <c r="B12" s="201" t="s">
        <v>93</v>
      </c>
      <c r="C12" s="195"/>
      <c r="D12" s="196"/>
      <c r="E12" s="237"/>
      <c r="F12" s="237"/>
      <c r="G12" s="237"/>
      <c r="H12" s="198">
        <f t="shared" ref="H12:H20" si="1">E12</f>
        <v>0</v>
      </c>
      <c r="I12" s="189"/>
      <c r="J12" s="190"/>
      <c r="K12" s="199"/>
      <c r="L12" s="200"/>
    </row>
    <row r="13" spans="1:14" x14ac:dyDescent="0.2">
      <c r="A13" s="193"/>
      <c r="B13" s="201" t="s">
        <v>94</v>
      </c>
      <c r="C13" s="195" t="s">
        <v>92</v>
      </c>
      <c r="D13" s="196">
        <v>85648</v>
      </c>
      <c r="E13" s="198">
        <v>87930</v>
      </c>
      <c r="F13" s="198">
        <v>86459</v>
      </c>
      <c r="G13" s="198">
        <v>86042</v>
      </c>
      <c r="H13" s="198">
        <v>86042</v>
      </c>
      <c r="I13" s="189"/>
      <c r="J13" s="190"/>
      <c r="K13" s="199"/>
      <c r="L13" s="200"/>
    </row>
    <row r="14" spans="1:14" x14ac:dyDescent="0.2">
      <c r="A14" s="193"/>
      <c r="B14" s="201" t="s">
        <v>95</v>
      </c>
      <c r="C14" s="195" t="s">
        <v>92</v>
      </c>
      <c r="D14" s="196">
        <v>398498</v>
      </c>
      <c r="E14" s="198">
        <v>402092</v>
      </c>
      <c r="F14" s="198">
        <v>401901</v>
      </c>
      <c r="G14" s="198">
        <v>403903</v>
      </c>
      <c r="H14" s="198">
        <v>403903</v>
      </c>
      <c r="I14" s="189"/>
      <c r="J14" s="190"/>
      <c r="K14" s="203"/>
      <c r="L14" s="204"/>
    </row>
    <row r="15" spans="1:14" x14ac:dyDescent="0.2">
      <c r="A15" s="193"/>
      <c r="B15" s="205" t="s">
        <v>96</v>
      </c>
      <c r="C15" s="195" t="s">
        <v>97</v>
      </c>
      <c r="D15" s="196"/>
      <c r="E15" s="208">
        <v>68</v>
      </c>
      <c r="F15" s="208"/>
      <c r="G15" s="208"/>
      <c r="H15" s="198">
        <f t="shared" si="1"/>
        <v>68</v>
      </c>
      <c r="I15" s="189"/>
      <c r="J15" s="190"/>
      <c r="K15" s="203"/>
      <c r="L15" s="204"/>
    </row>
    <row r="16" spans="1:14" x14ac:dyDescent="0.2">
      <c r="A16" s="193"/>
      <c r="B16" s="201" t="s">
        <v>98</v>
      </c>
      <c r="C16" s="195"/>
      <c r="D16" s="196">
        <v>406849</v>
      </c>
      <c r="E16" s="198">
        <v>408401</v>
      </c>
      <c r="F16" s="198">
        <v>408643</v>
      </c>
      <c r="G16" s="198">
        <v>408643</v>
      </c>
      <c r="H16" s="198">
        <f t="shared" si="1"/>
        <v>408401</v>
      </c>
      <c r="I16" s="189"/>
      <c r="J16" s="190"/>
      <c r="K16" s="203"/>
      <c r="L16" s="204"/>
    </row>
    <row r="17" spans="1:12" x14ac:dyDescent="0.2">
      <c r="A17" s="193"/>
      <c r="B17" s="201" t="s">
        <v>99</v>
      </c>
      <c r="C17" s="195" t="s">
        <v>14</v>
      </c>
      <c r="D17" s="207">
        <v>1.19</v>
      </c>
      <c r="E17" s="305">
        <v>1.1000000000000001</v>
      </c>
      <c r="F17" s="306">
        <v>0.69</v>
      </c>
      <c r="G17" s="306">
        <v>1.32</v>
      </c>
      <c r="H17" s="208">
        <v>1.43</v>
      </c>
      <c r="I17" s="189"/>
      <c r="J17" s="190"/>
      <c r="K17" s="209"/>
      <c r="L17" s="210"/>
    </row>
    <row r="18" spans="1:12" x14ac:dyDescent="0.2">
      <c r="A18" s="193"/>
      <c r="B18" s="201" t="s">
        <v>100</v>
      </c>
      <c r="C18" s="195" t="s">
        <v>101</v>
      </c>
      <c r="D18" s="207">
        <v>2.66</v>
      </c>
      <c r="E18" s="305">
        <v>0.4</v>
      </c>
      <c r="F18" s="306">
        <v>0.54</v>
      </c>
      <c r="G18" s="306">
        <v>0.82</v>
      </c>
      <c r="H18" s="208">
        <v>0.8</v>
      </c>
      <c r="I18" s="189"/>
      <c r="J18" s="190"/>
      <c r="K18" s="199"/>
      <c r="L18" s="200"/>
    </row>
    <row r="19" spans="1:12" x14ac:dyDescent="0.2">
      <c r="A19" s="193"/>
      <c r="B19" s="201" t="s">
        <v>102</v>
      </c>
      <c r="C19" s="195" t="s">
        <v>103</v>
      </c>
      <c r="D19" s="207">
        <v>10.45</v>
      </c>
      <c r="E19" s="305">
        <v>13.88</v>
      </c>
      <c r="F19" s="306">
        <v>7.09</v>
      </c>
      <c r="G19" s="306">
        <v>12.41</v>
      </c>
      <c r="H19" s="208">
        <f t="shared" si="1"/>
        <v>13.88</v>
      </c>
      <c r="I19" s="189"/>
      <c r="J19" s="190"/>
      <c r="K19" s="209"/>
      <c r="L19" s="210"/>
    </row>
    <row r="20" spans="1:12" ht="22.5" x14ac:dyDescent="0.2">
      <c r="A20" s="193"/>
      <c r="B20" s="201" t="s">
        <v>104</v>
      </c>
      <c r="C20" s="195" t="s">
        <v>14</v>
      </c>
      <c r="D20" s="211">
        <v>118</v>
      </c>
      <c r="E20" s="307">
        <v>109</v>
      </c>
      <c r="F20" s="308">
        <v>113</v>
      </c>
      <c r="G20" s="308">
        <v>114</v>
      </c>
      <c r="H20" s="208">
        <f t="shared" si="1"/>
        <v>109</v>
      </c>
      <c r="I20" s="189"/>
      <c r="J20" s="190"/>
      <c r="K20" s="212"/>
      <c r="L20" s="213"/>
    </row>
    <row r="21" spans="1:12" x14ac:dyDescent="0.2">
      <c r="A21" s="193">
        <v>2</v>
      </c>
      <c r="B21" s="214" t="s">
        <v>105</v>
      </c>
      <c r="C21" s="195"/>
      <c r="D21" s="211"/>
      <c r="E21" s="198"/>
      <c r="F21" s="308"/>
      <c r="G21" s="308"/>
      <c r="H21" s="198"/>
      <c r="I21" s="189"/>
      <c r="J21" s="190"/>
      <c r="K21" s="209"/>
      <c r="L21" s="210"/>
    </row>
    <row r="22" spans="1:12" ht="22.5" x14ac:dyDescent="0.2">
      <c r="A22" s="193"/>
      <c r="B22" s="201" t="s">
        <v>106</v>
      </c>
      <c r="C22" s="195" t="s">
        <v>14</v>
      </c>
      <c r="D22" s="211">
        <v>69.52</v>
      </c>
      <c r="E22" s="309">
        <v>69.8</v>
      </c>
      <c r="F22" s="308">
        <v>69.34</v>
      </c>
      <c r="G22" s="308">
        <v>68.98</v>
      </c>
      <c r="H22" s="198">
        <f>E22</f>
        <v>69.8</v>
      </c>
      <c r="I22" s="189"/>
      <c r="J22" s="190"/>
      <c r="K22" s="212"/>
      <c r="L22" s="213"/>
    </row>
    <row r="23" spans="1:12" ht="22.5" x14ac:dyDescent="0.2">
      <c r="A23" s="215"/>
      <c r="B23" s="216" t="s">
        <v>107</v>
      </c>
      <c r="C23" s="217" t="s">
        <v>14</v>
      </c>
      <c r="D23" s="218">
        <v>17.510000000000002</v>
      </c>
      <c r="E23" s="310">
        <v>15</v>
      </c>
      <c r="F23" s="311">
        <v>16.39</v>
      </c>
      <c r="G23" s="311">
        <v>17.55</v>
      </c>
      <c r="H23" s="198">
        <f>E23</f>
        <v>15</v>
      </c>
      <c r="I23" s="219"/>
      <c r="J23" s="220"/>
      <c r="K23" s="221"/>
      <c r="L23" s="222"/>
    </row>
    <row r="24" spans="1:12" x14ac:dyDescent="0.2">
      <c r="A24" s="181" t="s">
        <v>87</v>
      </c>
      <c r="B24" s="182" t="s">
        <v>108</v>
      </c>
      <c r="C24" s="223"/>
      <c r="D24" s="224"/>
      <c r="E24" s="312"/>
      <c r="F24" s="225"/>
      <c r="G24" s="225"/>
      <c r="H24" s="225"/>
      <c r="I24" s="226"/>
      <c r="J24" s="227"/>
      <c r="K24" s="228"/>
      <c r="L24" s="223"/>
    </row>
    <row r="25" spans="1:12" x14ac:dyDescent="0.2">
      <c r="A25" s="229" t="s">
        <v>11</v>
      </c>
      <c r="B25" s="230" t="s">
        <v>109</v>
      </c>
      <c r="C25" s="231"/>
      <c r="D25" s="232"/>
      <c r="E25" s="304"/>
      <c r="F25" s="233"/>
      <c r="G25" s="233"/>
      <c r="H25" s="233"/>
      <c r="I25" s="189"/>
      <c r="J25" s="190"/>
      <c r="K25" s="234"/>
      <c r="L25" s="231"/>
    </row>
    <row r="26" spans="1:12" x14ac:dyDescent="0.2">
      <c r="A26" s="235">
        <v>1</v>
      </c>
      <c r="B26" s="236" t="s">
        <v>110</v>
      </c>
      <c r="C26" s="235" t="s">
        <v>111</v>
      </c>
      <c r="D26" s="202">
        <v>120</v>
      </c>
      <c r="E26" s="237">
        <f>SUM(E27:E33)</f>
        <v>120</v>
      </c>
      <c r="F26" s="237">
        <f t="shared" ref="F26:H26" si="2">SUM(F27:F33)</f>
        <v>120</v>
      </c>
      <c r="G26" s="237">
        <f t="shared" si="2"/>
        <v>120</v>
      </c>
      <c r="H26" s="237">
        <f t="shared" si="2"/>
        <v>120</v>
      </c>
      <c r="I26" s="189"/>
      <c r="J26" s="190"/>
      <c r="K26" s="212"/>
      <c r="L26" s="238"/>
    </row>
    <row r="27" spans="1:12" x14ac:dyDescent="0.2">
      <c r="A27" s="239"/>
      <c r="B27" s="240" t="s">
        <v>112</v>
      </c>
      <c r="C27" s="239" t="s">
        <v>113</v>
      </c>
      <c r="D27" s="197">
        <v>1</v>
      </c>
      <c r="E27" s="237">
        <v>1</v>
      </c>
      <c r="F27" s="198">
        <v>1</v>
      </c>
      <c r="G27" s="198">
        <v>1</v>
      </c>
      <c r="H27" s="237">
        <v>1</v>
      </c>
      <c r="I27" s="189"/>
      <c r="J27" s="190"/>
      <c r="K27" s="212"/>
      <c r="L27" s="238"/>
    </row>
    <row r="28" spans="1:12" x14ac:dyDescent="0.2">
      <c r="A28" s="239"/>
      <c r="B28" s="240" t="s">
        <v>114</v>
      </c>
      <c r="C28" s="239" t="s">
        <v>113</v>
      </c>
      <c r="D28" s="197">
        <v>2</v>
      </c>
      <c r="E28" s="237">
        <v>2</v>
      </c>
      <c r="F28" s="198">
        <v>2</v>
      </c>
      <c r="G28" s="198">
        <v>2</v>
      </c>
      <c r="H28" s="237">
        <v>2</v>
      </c>
      <c r="I28" s="189"/>
      <c r="J28" s="190"/>
      <c r="K28" s="212"/>
      <c r="L28" s="238"/>
    </row>
    <row r="29" spans="1:12" x14ac:dyDescent="0.2">
      <c r="A29" s="239"/>
      <c r="B29" s="241" t="s">
        <v>115</v>
      </c>
      <c r="C29" s="239" t="s">
        <v>116</v>
      </c>
      <c r="D29" s="197">
        <v>1</v>
      </c>
      <c r="E29" s="237">
        <v>1</v>
      </c>
      <c r="F29" s="198">
        <v>1</v>
      </c>
      <c r="G29" s="198">
        <v>1</v>
      </c>
      <c r="H29" s="237">
        <v>1</v>
      </c>
      <c r="I29" s="189"/>
      <c r="J29" s="190"/>
      <c r="K29" s="212"/>
      <c r="L29" s="238"/>
    </row>
    <row r="30" spans="1:12" x14ac:dyDescent="0.2">
      <c r="A30" s="239"/>
      <c r="B30" s="240" t="s">
        <v>117</v>
      </c>
      <c r="C30" s="239" t="s">
        <v>116</v>
      </c>
      <c r="D30" s="197">
        <v>8</v>
      </c>
      <c r="E30" s="237">
        <v>8</v>
      </c>
      <c r="F30" s="198">
        <v>8</v>
      </c>
      <c r="G30" s="198">
        <v>8</v>
      </c>
      <c r="H30" s="237">
        <v>8</v>
      </c>
      <c r="I30" s="189"/>
      <c r="J30" s="190"/>
      <c r="K30" s="212"/>
      <c r="L30" s="238"/>
    </row>
    <row r="31" spans="1:12" x14ac:dyDescent="0.2">
      <c r="A31" s="239"/>
      <c r="B31" s="241" t="s">
        <v>118</v>
      </c>
      <c r="C31" s="239" t="s">
        <v>116</v>
      </c>
      <c r="D31" s="197">
        <v>1</v>
      </c>
      <c r="E31" s="237">
        <v>1</v>
      </c>
      <c r="F31" s="198">
        <v>1</v>
      </c>
      <c r="G31" s="198">
        <v>1</v>
      </c>
      <c r="H31" s="237">
        <v>1</v>
      </c>
      <c r="I31" s="189"/>
      <c r="J31" s="190"/>
      <c r="K31" s="212"/>
      <c r="L31" s="238"/>
    </row>
    <row r="32" spans="1:12" x14ac:dyDescent="0.2">
      <c r="A32" s="239"/>
      <c r="B32" s="242" t="s">
        <v>119</v>
      </c>
      <c r="C32" s="239" t="s">
        <v>120</v>
      </c>
      <c r="D32" s="197">
        <v>4</v>
      </c>
      <c r="E32" s="237">
        <v>4</v>
      </c>
      <c r="F32" s="198">
        <v>4</v>
      </c>
      <c r="G32" s="198">
        <v>4</v>
      </c>
      <c r="H32" s="237">
        <v>4</v>
      </c>
      <c r="I32" s="189"/>
      <c r="J32" s="190"/>
      <c r="K32" s="212"/>
      <c r="L32" s="238"/>
    </row>
    <row r="33" spans="1:12" x14ac:dyDescent="0.2">
      <c r="A33" s="239"/>
      <c r="B33" s="242" t="s">
        <v>121</v>
      </c>
      <c r="C33" s="239" t="s">
        <v>122</v>
      </c>
      <c r="D33" s="197">
        <v>103</v>
      </c>
      <c r="E33" s="237">
        <v>103</v>
      </c>
      <c r="F33" s="198">
        <v>103</v>
      </c>
      <c r="G33" s="198">
        <v>103</v>
      </c>
      <c r="H33" s="237">
        <v>103</v>
      </c>
      <c r="I33" s="189"/>
      <c r="J33" s="190"/>
      <c r="K33" s="212"/>
      <c r="L33" s="238"/>
    </row>
    <row r="34" spans="1:12" x14ac:dyDescent="0.2">
      <c r="A34" s="239"/>
      <c r="B34" s="242" t="s">
        <v>123</v>
      </c>
      <c r="C34" s="239" t="s">
        <v>14</v>
      </c>
      <c r="D34" s="206">
        <v>94.2</v>
      </c>
      <c r="E34" s="208">
        <v>94.2</v>
      </c>
      <c r="F34" s="208">
        <v>94.2</v>
      </c>
      <c r="G34" s="208">
        <v>94.2</v>
      </c>
      <c r="H34" s="208">
        <v>94.2</v>
      </c>
      <c r="I34" s="189"/>
      <c r="J34" s="190"/>
      <c r="K34" s="212"/>
      <c r="L34" s="238"/>
    </row>
    <row r="35" spans="1:12" x14ac:dyDescent="0.2">
      <c r="A35" s="235">
        <v>2</v>
      </c>
      <c r="B35" s="236" t="s">
        <v>124</v>
      </c>
      <c r="C35" s="235" t="s">
        <v>111</v>
      </c>
      <c r="D35" s="197">
        <v>2</v>
      </c>
      <c r="E35" s="237">
        <v>2</v>
      </c>
      <c r="F35" s="198">
        <v>2</v>
      </c>
      <c r="G35" s="198">
        <v>2</v>
      </c>
      <c r="H35" s="237">
        <v>2</v>
      </c>
      <c r="I35" s="189"/>
      <c r="J35" s="190"/>
      <c r="K35" s="212"/>
      <c r="L35" s="238"/>
    </row>
    <row r="36" spans="1:12" x14ac:dyDescent="0.2">
      <c r="A36" s="235">
        <v>3</v>
      </c>
      <c r="B36" s="243" t="s">
        <v>125</v>
      </c>
      <c r="C36" s="235" t="s">
        <v>126</v>
      </c>
      <c r="D36" s="202">
        <v>1590</v>
      </c>
      <c r="E36" s="237">
        <f>E37+E38</f>
        <v>1590</v>
      </c>
      <c r="F36" s="237">
        <f t="shared" ref="F36:H36" si="3">F37+F38</f>
        <v>1590</v>
      </c>
      <c r="G36" s="237">
        <f t="shared" si="3"/>
        <v>1590</v>
      </c>
      <c r="H36" s="237">
        <f t="shared" si="3"/>
        <v>1590</v>
      </c>
      <c r="I36" s="189"/>
      <c r="J36" s="190"/>
      <c r="K36" s="212"/>
      <c r="L36" s="238"/>
    </row>
    <row r="37" spans="1:12" x14ac:dyDescent="0.2">
      <c r="A37" s="235"/>
      <c r="B37" s="243" t="s">
        <v>127</v>
      </c>
      <c r="C37" s="235" t="s">
        <v>126</v>
      </c>
      <c r="D37" s="202">
        <v>670</v>
      </c>
      <c r="E37" s="237">
        <v>670</v>
      </c>
      <c r="F37" s="237">
        <v>670</v>
      </c>
      <c r="G37" s="237">
        <v>670</v>
      </c>
      <c r="H37" s="237">
        <v>670</v>
      </c>
      <c r="I37" s="189"/>
      <c r="J37" s="190"/>
      <c r="K37" s="212"/>
      <c r="L37" s="238"/>
    </row>
    <row r="38" spans="1:12" x14ac:dyDescent="0.2">
      <c r="A38" s="235"/>
      <c r="B38" s="243" t="s">
        <v>128</v>
      </c>
      <c r="C38" s="235" t="s">
        <v>126</v>
      </c>
      <c r="D38" s="197">
        <v>920</v>
      </c>
      <c r="E38" s="237">
        <f>E39+E40</f>
        <v>920</v>
      </c>
      <c r="F38" s="198">
        <v>920</v>
      </c>
      <c r="G38" s="198">
        <v>920</v>
      </c>
      <c r="H38" s="237">
        <v>920</v>
      </c>
      <c r="I38" s="189"/>
      <c r="J38" s="190"/>
      <c r="K38" s="212"/>
      <c r="L38" s="238"/>
    </row>
    <row r="39" spans="1:12" x14ac:dyDescent="0.2">
      <c r="A39" s="239"/>
      <c r="B39" s="240" t="s">
        <v>129</v>
      </c>
      <c r="C39" s="235" t="s">
        <v>126</v>
      </c>
      <c r="D39" s="197">
        <v>860</v>
      </c>
      <c r="E39" s="237">
        <v>860</v>
      </c>
      <c r="F39" s="198">
        <v>860</v>
      </c>
      <c r="G39" s="198">
        <v>860</v>
      </c>
      <c r="H39" s="237">
        <v>860</v>
      </c>
      <c r="I39" s="189"/>
      <c r="J39" s="190"/>
      <c r="K39" s="212"/>
      <c r="L39" s="238"/>
    </row>
    <row r="40" spans="1:12" x14ac:dyDescent="0.2">
      <c r="A40" s="239"/>
      <c r="B40" s="244" t="s">
        <v>130</v>
      </c>
      <c r="C40" s="239" t="s">
        <v>126</v>
      </c>
      <c r="D40" s="197">
        <v>60</v>
      </c>
      <c r="E40" s="237">
        <v>60</v>
      </c>
      <c r="F40" s="198">
        <v>60</v>
      </c>
      <c r="G40" s="198">
        <v>60</v>
      </c>
      <c r="H40" s="237">
        <v>60</v>
      </c>
      <c r="I40" s="189"/>
      <c r="J40" s="190"/>
      <c r="K40" s="212"/>
      <c r="L40" s="238"/>
    </row>
    <row r="41" spans="1:12" ht="22.5" x14ac:dyDescent="0.2">
      <c r="A41" s="235">
        <v>4</v>
      </c>
      <c r="B41" s="236" t="s">
        <v>131</v>
      </c>
      <c r="C41" s="235" t="s">
        <v>126</v>
      </c>
      <c r="D41" s="206">
        <v>32.820385794346222</v>
      </c>
      <c r="E41" s="208">
        <f>E36/E11*10000</f>
        <v>32.447522764284052</v>
      </c>
      <c r="F41" s="208">
        <f>F36/F11*10000</f>
        <v>32.557949053976579</v>
      </c>
      <c r="G41" s="208">
        <f>G36/G11*10000</f>
        <v>32.452622233107796</v>
      </c>
      <c r="H41" s="208">
        <f>H36/H11*10000</f>
        <v>32.452622233107796</v>
      </c>
      <c r="I41" s="189"/>
      <c r="J41" s="190"/>
      <c r="K41" s="212"/>
      <c r="L41" s="238"/>
    </row>
    <row r="42" spans="1:12" x14ac:dyDescent="0.2">
      <c r="A42" s="245"/>
      <c r="B42" s="246" t="s">
        <v>132</v>
      </c>
      <c r="C42" s="245" t="s">
        <v>133</v>
      </c>
      <c r="D42" s="247">
        <v>32.820385794346222</v>
      </c>
      <c r="E42" s="248">
        <f>E36/E11*10000</f>
        <v>32.447522764284052</v>
      </c>
      <c r="F42" s="248">
        <f>F36/F11*10000</f>
        <v>32.557949053976579</v>
      </c>
      <c r="G42" s="248">
        <f>G36/G11*10000</f>
        <v>32.452622233107796</v>
      </c>
      <c r="H42" s="248">
        <f>H36/H11*10000</f>
        <v>32.452622233107796</v>
      </c>
      <c r="I42" s="219"/>
      <c r="J42" s="220"/>
      <c r="K42" s="221"/>
      <c r="L42" s="222"/>
    </row>
    <row r="43" spans="1:12" x14ac:dyDescent="0.2">
      <c r="A43" s="249" t="s">
        <v>12</v>
      </c>
      <c r="B43" s="250" t="s">
        <v>134</v>
      </c>
      <c r="C43" s="249"/>
      <c r="D43" s="251"/>
      <c r="E43" s="313"/>
      <c r="F43" s="314"/>
      <c r="G43" s="314"/>
      <c r="H43" s="252"/>
      <c r="I43" s="226"/>
      <c r="J43" s="227"/>
      <c r="K43" s="228"/>
      <c r="L43" s="223"/>
    </row>
    <row r="44" spans="1:12" x14ac:dyDescent="0.2">
      <c r="A44" s="253">
        <v>1</v>
      </c>
      <c r="B44" s="254" t="s">
        <v>135</v>
      </c>
      <c r="C44" s="255" t="s">
        <v>92</v>
      </c>
      <c r="D44" s="256">
        <v>2782</v>
      </c>
      <c r="E44" s="188">
        <v>2935</v>
      </c>
      <c r="F44" s="315">
        <v>2807</v>
      </c>
      <c r="G44" s="315">
        <v>2808</v>
      </c>
      <c r="H44" s="188">
        <f t="shared" ref="H44:H50" si="4">E44</f>
        <v>2935</v>
      </c>
      <c r="I44" s="189"/>
      <c r="J44" s="190"/>
      <c r="K44" s="234"/>
      <c r="L44" s="231"/>
    </row>
    <row r="45" spans="1:12" x14ac:dyDescent="0.2">
      <c r="A45" s="235"/>
      <c r="B45" s="236" t="s">
        <v>136</v>
      </c>
      <c r="C45" s="257"/>
      <c r="D45" s="197"/>
      <c r="E45" s="237"/>
      <c r="F45" s="198"/>
      <c r="G45" s="198"/>
      <c r="H45" s="188">
        <f t="shared" si="4"/>
        <v>0</v>
      </c>
      <c r="I45" s="189"/>
      <c r="J45" s="190"/>
      <c r="K45" s="212"/>
      <c r="L45" s="238"/>
    </row>
    <row r="46" spans="1:12" x14ac:dyDescent="0.2">
      <c r="A46" s="235" t="s">
        <v>137</v>
      </c>
      <c r="B46" s="236" t="s">
        <v>138</v>
      </c>
      <c r="C46" s="257" t="s">
        <v>92</v>
      </c>
      <c r="D46" s="197">
        <v>515</v>
      </c>
      <c r="E46" s="237">
        <v>638</v>
      </c>
      <c r="F46" s="198">
        <v>619</v>
      </c>
      <c r="G46" s="198">
        <v>620</v>
      </c>
      <c r="H46" s="188">
        <f t="shared" si="4"/>
        <v>638</v>
      </c>
      <c r="I46" s="189"/>
      <c r="J46" s="190"/>
      <c r="K46" s="212"/>
      <c r="L46" s="238"/>
    </row>
    <row r="47" spans="1:12" x14ac:dyDescent="0.2">
      <c r="A47" s="239"/>
      <c r="B47" s="242" t="s">
        <v>139</v>
      </c>
      <c r="C47" s="258" t="s">
        <v>140</v>
      </c>
      <c r="D47" s="206">
        <v>10.692427573252418</v>
      </c>
      <c r="E47" s="208">
        <f>E46/E11*10000</f>
        <v>13.019823599756746</v>
      </c>
      <c r="F47" s="208">
        <f>F46/F11*10000</f>
        <v>12.675075763780818</v>
      </c>
      <c r="G47" s="208">
        <f>G46/G11*10000</f>
        <v>12.654481625488575</v>
      </c>
      <c r="H47" s="259">
        <f t="shared" si="4"/>
        <v>13.019823599756746</v>
      </c>
      <c r="I47" s="189"/>
      <c r="J47" s="190"/>
      <c r="K47" s="212"/>
      <c r="L47" s="238"/>
    </row>
    <row r="48" spans="1:12" x14ac:dyDescent="0.2">
      <c r="A48" s="235" t="s">
        <v>141</v>
      </c>
      <c r="B48" s="236" t="s">
        <v>142</v>
      </c>
      <c r="C48" s="257" t="s">
        <v>92</v>
      </c>
      <c r="D48" s="197">
        <v>100</v>
      </c>
      <c r="E48" s="237">
        <v>111</v>
      </c>
      <c r="F48" s="198">
        <v>113</v>
      </c>
      <c r="G48" s="198">
        <v>113</v>
      </c>
      <c r="H48" s="198">
        <v>113</v>
      </c>
      <c r="I48" s="189"/>
      <c r="J48" s="190"/>
      <c r="K48" s="212"/>
      <c r="L48" s="238"/>
    </row>
    <row r="49" spans="1:12" x14ac:dyDescent="0.2">
      <c r="A49" s="239"/>
      <c r="B49" s="242" t="s">
        <v>143</v>
      </c>
      <c r="C49" s="258" t="s">
        <v>140</v>
      </c>
      <c r="D49" s="206">
        <v>2.1261004634073339</v>
      </c>
      <c r="E49" s="208">
        <f>E48/E11*10000</f>
        <v>2.2652044193934149</v>
      </c>
      <c r="F49" s="208">
        <f>F48/F11*10000</f>
        <v>2.3138668195593413</v>
      </c>
      <c r="G49" s="208">
        <f>G48/G11*10000</f>
        <v>2.306381328516466</v>
      </c>
      <c r="H49" s="259">
        <f t="shared" si="4"/>
        <v>2.2652044193934149</v>
      </c>
      <c r="I49" s="189"/>
      <c r="J49" s="190"/>
      <c r="K49" s="212"/>
      <c r="L49" s="238"/>
    </row>
    <row r="50" spans="1:12" ht="22.5" x14ac:dyDescent="0.2">
      <c r="A50" s="235">
        <v>2</v>
      </c>
      <c r="B50" s="236" t="s">
        <v>144</v>
      </c>
      <c r="C50" s="257" t="s">
        <v>14</v>
      </c>
      <c r="D50" s="206">
        <v>26.415094339622641</v>
      </c>
      <c r="E50" s="208">
        <v>35.799999999999997</v>
      </c>
      <c r="F50" s="208">
        <f>38/106*100</f>
        <v>35.849056603773583</v>
      </c>
      <c r="G50" s="208">
        <f>38/106*100</f>
        <v>35.849056603773583</v>
      </c>
      <c r="H50" s="188">
        <f t="shared" si="4"/>
        <v>35.799999999999997</v>
      </c>
      <c r="I50" s="189"/>
      <c r="J50" s="190"/>
      <c r="K50" s="212"/>
      <c r="L50" s="238"/>
    </row>
    <row r="51" spans="1:12" ht="34.5" customHeight="1" x14ac:dyDescent="0.2">
      <c r="A51" s="260">
        <v>3</v>
      </c>
      <c r="B51" s="261" t="s">
        <v>145</v>
      </c>
      <c r="C51" s="260" t="s">
        <v>14</v>
      </c>
      <c r="D51" s="262">
        <v>94.535519125683066</v>
      </c>
      <c r="E51" s="248">
        <v>93.5</v>
      </c>
      <c r="F51" s="316">
        <f>864/915*100</f>
        <v>94.426229508196727</v>
      </c>
      <c r="G51" s="316">
        <f>864/915*100</f>
        <v>94.426229508196727</v>
      </c>
      <c r="H51" s="316">
        <f>864/915*100</f>
        <v>94.426229508196727</v>
      </c>
      <c r="I51" s="350"/>
      <c r="J51" s="351"/>
      <c r="K51" s="351"/>
      <c r="L51" s="352"/>
    </row>
    <row r="52" spans="1:12" x14ac:dyDescent="0.2">
      <c r="A52" s="249" t="s">
        <v>146</v>
      </c>
      <c r="B52" s="250" t="s">
        <v>147</v>
      </c>
      <c r="C52" s="263"/>
      <c r="D52" s="224"/>
      <c r="E52" s="312"/>
      <c r="F52" s="317"/>
      <c r="G52" s="317"/>
      <c r="H52" s="264"/>
      <c r="I52" s="226"/>
      <c r="J52" s="227"/>
      <c r="K52" s="228"/>
      <c r="L52" s="223"/>
    </row>
    <row r="53" spans="1:12" x14ac:dyDescent="0.2">
      <c r="A53" s="253">
        <v>1</v>
      </c>
      <c r="B53" s="254" t="s">
        <v>148</v>
      </c>
      <c r="C53" s="253" t="s">
        <v>149</v>
      </c>
      <c r="D53" s="265">
        <v>94</v>
      </c>
      <c r="E53" s="318">
        <v>95</v>
      </c>
      <c r="F53" s="267">
        <v>94</v>
      </c>
      <c r="G53" s="267">
        <v>94</v>
      </c>
      <c r="H53" s="267">
        <f>E53</f>
        <v>95</v>
      </c>
      <c r="I53" s="189"/>
      <c r="J53" s="190"/>
      <c r="K53" s="234"/>
      <c r="L53" s="231"/>
    </row>
    <row r="54" spans="1:12" x14ac:dyDescent="0.2">
      <c r="A54" s="235"/>
      <c r="B54" s="242" t="s">
        <v>150</v>
      </c>
      <c r="C54" s="235" t="s">
        <v>149</v>
      </c>
      <c r="D54" s="265">
        <v>3</v>
      </c>
      <c r="E54" s="319">
        <v>1</v>
      </c>
      <c r="F54" s="283">
        <v>3</v>
      </c>
      <c r="G54" s="283">
        <v>3</v>
      </c>
      <c r="H54" s="267">
        <f>E54</f>
        <v>1</v>
      </c>
      <c r="I54" s="189"/>
      <c r="J54" s="190"/>
      <c r="K54" s="212"/>
      <c r="L54" s="238"/>
    </row>
    <row r="55" spans="1:12" x14ac:dyDescent="0.2">
      <c r="A55" s="268"/>
      <c r="B55" s="242" t="s">
        <v>151</v>
      </c>
      <c r="C55" s="239" t="s">
        <v>14</v>
      </c>
      <c r="D55" s="269">
        <f>D53/108*100</f>
        <v>87.037037037037038</v>
      </c>
      <c r="E55" s="320">
        <f>E53/106*100</f>
        <v>89.622641509433961</v>
      </c>
      <c r="F55" s="270">
        <f t="shared" ref="F55:H55" si="5">F53/106*100</f>
        <v>88.679245283018872</v>
      </c>
      <c r="G55" s="270">
        <f t="shared" si="5"/>
        <v>88.679245283018872</v>
      </c>
      <c r="H55" s="270">
        <f t="shared" si="5"/>
        <v>89.622641509433961</v>
      </c>
      <c r="I55" s="189"/>
      <c r="J55" s="190"/>
      <c r="K55" s="212"/>
      <c r="L55" s="238"/>
    </row>
    <row r="56" spans="1:12" ht="54.75" customHeight="1" x14ac:dyDescent="0.2">
      <c r="A56" s="235">
        <v>2</v>
      </c>
      <c r="B56" s="236" t="s">
        <v>152</v>
      </c>
      <c r="C56" s="235" t="s">
        <v>153</v>
      </c>
      <c r="D56" s="271">
        <f>98/3797*1000</f>
        <v>25.809849881485384</v>
      </c>
      <c r="E56" s="319">
        <v>28.9</v>
      </c>
      <c r="F56" s="321">
        <f>41/2569*1000</f>
        <v>15.959517321915143</v>
      </c>
      <c r="G56" s="322">
        <f>71/3782*1000</f>
        <v>18.77313590692755</v>
      </c>
      <c r="H56" s="273">
        <f t="shared" ref="H56:H71" si="6">E56</f>
        <v>28.9</v>
      </c>
      <c r="I56" s="189"/>
      <c r="J56" s="190"/>
      <c r="K56" s="212"/>
      <c r="L56" s="238"/>
    </row>
    <row r="57" spans="1:12" ht="22.5" x14ac:dyDescent="0.2">
      <c r="A57" s="235">
        <v>3</v>
      </c>
      <c r="B57" s="236" t="s">
        <v>154</v>
      </c>
      <c r="C57" s="235" t="s">
        <v>153</v>
      </c>
      <c r="D57" s="271">
        <f>124/3797*1000</f>
        <v>32.657361074532531</v>
      </c>
      <c r="E57" s="319">
        <v>41.7</v>
      </c>
      <c r="F57" s="323">
        <f>54/2569*1000</f>
        <v>21.019852082522384</v>
      </c>
      <c r="G57" s="323">
        <f>96/3782*1000</f>
        <v>25.38339502908514</v>
      </c>
      <c r="H57" s="273">
        <f t="shared" si="6"/>
        <v>41.7</v>
      </c>
      <c r="I57" s="189"/>
      <c r="J57" s="190"/>
      <c r="K57" s="212"/>
      <c r="L57" s="238"/>
    </row>
    <row r="58" spans="1:12" ht="22.5" x14ac:dyDescent="0.2">
      <c r="A58" s="235">
        <v>4</v>
      </c>
      <c r="B58" s="236" t="s">
        <v>155</v>
      </c>
      <c r="C58" s="235" t="s">
        <v>156</v>
      </c>
      <c r="D58" s="266">
        <v>18.71</v>
      </c>
      <c r="E58" s="318">
        <v>16.7</v>
      </c>
      <c r="F58" s="324"/>
      <c r="G58" s="325">
        <v>16.7</v>
      </c>
      <c r="H58" s="273">
        <f t="shared" si="6"/>
        <v>16.7</v>
      </c>
      <c r="I58" s="189"/>
      <c r="J58" s="190"/>
      <c r="K58" s="212"/>
      <c r="L58" s="238"/>
    </row>
    <row r="59" spans="1:12" ht="22.5" x14ac:dyDescent="0.2">
      <c r="A59" s="235"/>
      <c r="B59" s="236" t="s">
        <v>157</v>
      </c>
      <c r="C59" s="235" t="s">
        <v>156</v>
      </c>
      <c r="D59" s="266">
        <v>25.86</v>
      </c>
      <c r="E59" s="319">
        <v>22.98</v>
      </c>
      <c r="F59" s="324"/>
      <c r="G59" s="325">
        <v>22.98</v>
      </c>
      <c r="H59" s="273">
        <f t="shared" si="6"/>
        <v>22.98</v>
      </c>
      <c r="I59" s="189"/>
      <c r="J59" s="190"/>
      <c r="K59" s="212"/>
      <c r="L59" s="238"/>
    </row>
    <row r="60" spans="1:12" ht="22.5" x14ac:dyDescent="0.2">
      <c r="A60" s="235">
        <v>5</v>
      </c>
      <c r="B60" s="236" t="s">
        <v>158</v>
      </c>
      <c r="C60" s="235" t="s">
        <v>159</v>
      </c>
      <c r="D60" s="274">
        <v>0</v>
      </c>
      <c r="E60" s="319">
        <v>73</v>
      </c>
      <c r="F60" s="213">
        <v>0</v>
      </c>
      <c r="G60" s="213">
        <v>0</v>
      </c>
      <c r="H60" s="267">
        <f t="shared" si="6"/>
        <v>73</v>
      </c>
      <c r="I60" s="189"/>
      <c r="J60" s="190"/>
      <c r="K60" s="212"/>
      <c r="L60" s="238"/>
    </row>
    <row r="61" spans="1:12" ht="22.5" x14ac:dyDescent="0.2">
      <c r="A61" s="235">
        <v>6</v>
      </c>
      <c r="B61" s="236" t="s">
        <v>160</v>
      </c>
      <c r="C61" s="235" t="s">
        <v>14</v>
      </c>
      <c r="D61" s="275">
        <v>48.17</v>
      </c>
      <c r="E61" s="319">
        <v>94.6</v>
      </c>
      <c r="F61" s="326">
        <f>1518/9635*100</f>
        <v>15.755059678256355</v>
      </c>
      <c r="G61" s="328">
        <f>4452/9635*100</f>
        <v>46.20653866113129</v>
      </c>
      <c r="H61" s="273">
        <f t="shared" si="6"/>
        <v>94.6</v>
      </c>
      <c r="I61" s="353" t="s">
        <v>161</v>
      </c>
      <c r="J61" s="354"/>
      <c r="K61" s="354"/>
      <c r="L61" s="355"/>
    </row>
    <row r="62" spans="1:12" x14ac:dyDescent="0.2">
      <c r="A62" s="235">
        <v>7</v>
      </c>
      <c r="B62" s="236" t="s">
        <v>162</v>
      </c>
      <c r="C62" s="235" t="s">
        <v>14</v>
      </c>
      <c r="D62" s="276">
        <v>68.150000000000006</v>
      </c>
      <c r="E62" s="319">
        <v>71</v>
      </c>
      <c r="F62" s="327">
        <f>(2645-455)/(3880-660)*100</f>
        <v>68.012422360248451</v>
      </c>
      <c r="G62" s="327">
        <f>2645/3880*100</f>
        <v>68.170103092783506</v>
      </c>
      <c r="H62" s="273">
        <f t="shared" si="6"/>
        <v>71</v>
      </c>
      <c r="I62" s="189"/>
      <c r="J62" s="190"/>
      <c r="K62" s="212"/>
      <c r="L62" s="238"/>
    </row>
    <row r="63" spans="1:12" x14ac:dyDescent="0.2">
      <c r="A63" s="235">
        <v>8</v>
      </c>
      <c r="B63" s="236" t="s">
        <v>163</v>
      </c>
      <c r="C63" s="235" t="s">
        <v>14</v>
      </c>
      <c r="D63" s="276">
        <v>77.33</v>
      </c>
      <c r="E63" s="319">
        <v>75.2</v>
      </c>
      <c r="F63" s="328">
        <f>(2821-479)/(3880-660)*100</f>
        <v>72.732919254658384</v>
      </c>
      <c r="G63" s="328">
        <f>2821/3880*100</f>
        <v>72.706185567010309</v>
      </c>
      <c r="H63" s="273">
        <f t="shared" si="6"/>
        <v>75.2</v>
      </c>
      <c r="I63" s="189"/>
      <c r="J63" s="190"/>
      <c r="K63" s="212"/>
      <c r="L63" s="238"/>
    </row>
    <row r="64" spans="1:12" x14ac:dyDescent="0.2">
      <c r="A64" s="235">
        <v>9</v>
      </c>
      <c r="B64" s="236" t="s">
        <v>164</v>
      </c>
      <c r="C64" s="235"/>
      <c r="D64" s="277"/>
      <c r="E64" s="319"/>
      <c r="F64" s="283"/>
      <c r="G64" s="267"/>
      <c r="H64" s="273">
        <f t="shared" si="6"/>
        <v>0</v>
      </c>
      <c r="I64" s="189"/>
      <c r="J64" s="190"/>
      <c r="K64" s="212"/>
      <c r="L64" s="238"/>
    </row>
    <row r="65" spans="1:12" x14ac:dyDescent="0.2">
      <c r="A65" s="278"/>
      <c r="B65" s="279" t="s">
        <v>165</v>
      </c>
      <c r="C65" s="278" t="s">
        <v>103</v>
      </c>
      <c r="D65" s="272">
        <f>40/D11*1000</f>
        <v>8.2619705625988846E-2</v>
      </c>
      <c r="E65" s="319">
        <v>1.07</v>
      </c>
      <c r="F65" s="329">
        <f>11/F11*1000</f>
        <v>2.2524367270046686E-2</v>
      </c>
      <c r="G65" s="329">
        <f>46/G11*1000</f>
        <v>9.3888089479431378E-2</v>
      </c>
      <c r="H65" s="273">
        <f t="shared" si="6"/>
        <v>1.07</v>
      </c>
      <c r="I65" s="189"/>
      <c r="J65" s="190"/>
      <c r="K65" s="212"/>
      <c r="L65" s="238"/>
    </row>
    <row r="66" spans="1:12" x14ac:dyDescent="0.2">
      <c r="A66" s="239"/>
      <c r="B66" s="242" t="s">
        <v>166</v>
      </c>
      <c r="C66" s="239" t="s">
        <v>167</v>
      </c>
      <c r="D66" s="272">
        <f>97/D11*100000</f>
        <v>20.035278614302296</v>
      </c>
      <c r="E66" s="319">
        <v>30.03</v>
      </c>
      <c r="F66" s="330">
        <f>102/F11*100000</f>
        <v>20.886231468588747</v>
      </c>
      <c r="G66" s="330">
        <f>116/G11*100000</f>
        <v>23.676126912204431</v>
      </c>
      <c r="H66" s="273">
        <f t="shared" si="6"/>
        <v>30.03</v>
      </c>
      <c r="I66" s="189"/>
      <c r="J66" s="190"/>
      <c r="K66" s="212"/>
      <c r="L66" s="238"/>
    </row>
    <row r="67" spans="1:12" x14ac:dyDescent="0.2">
      <c r="A67" s="239"/>
      <c r="B67" s="242" t="s">
        <v>168</v>
      </c>
      <c r="C67" s="239" t="s">
        <v>14</v>
      </c>
      <c r="D67" s="272">
        <f>1731/D11*100</f>
        <v>0.35753677609646678</v>
      </c>
      <c r="E67" s="319">
        <v>0.34</v>
      </c>
      <c r="F67" s="331">
        <f>1660/F11*100</f>
        <v>0.3399131788025227</v>
      </c>
      <c r="G67" s="331">
        <f>1646/G11*100</f>
        <v>0.33595607670248701</v>
      </c>
      <c r="H67" s="273">
        <f t="shared" si="6"/>
        <v>0.34</v>
      </c>
      <c r="I67" s="189"/>
      <c r="J67" s="190"/>
      <c r="K67" s="212"/>
      <c r="L67" s="238"/>
    </row>
    <row r="68" spans="1:12" x14ac:dyDescent="0.2">
      <c r="A68" s="235">
        <v>10</v>
      </c>
      <c r="B68" s="236" t="s">
        <v>169</v>
      </c>
      <c r="C68" s="195" t="s">
        <v>14</v>
      </c>
      <c r="D68" s="280">
        <f>391036/D11*100</f>
        <v>80.76819802291044</v>
      </c>
      <c r="E68" s="319">
        <v>96.1</v>
      </c>
      <c r="F68" s="273"/>
      <c r="G68" s="273">
        <f>395000/G11*100</f>
        <v>80.621294226903018</v>
      </c>
      <c r="H68" s="273">
        <f t="shared" si="6"/>
        <v>96.1</v>
      </c>
      <c r="I68" s="189"/>
      <c r="J68" s="190"/>
      <c r="K68" s="212"/>
      <c r="L68" s="238"/>
    </row>
    <row r="69" spans="1:12" ht="30.75" customHeight="1" x14ac:dyDescent="0.2">
      <c r="A69" s="281">
        <v>11</v>
      </c>
      <c r="B69" s="261" t="s">
        <v>170</v>
      </c>
      <c r="C69" s="195"/>
      <c r="D69" s="282">
        <v>40</v>
      </c>
      <c r="E69" s="319">
        <v>50</v>
      </c>
      <c r="F69" s="332">
        <v>40</v>
      </c>
      <c r="G69" s="332">
        <v>50</v>
      </c>
      <c r="H69" s="283">
        <f t="shared" si="6"/>
        <v>50</v>
      </c>
      <c r="I69" s="189"/>
      <c r="J69" s="190"/>
      <c r="K69" s="212"/>
      <c r="L69" s="238"/>
    </row>
    <row r="70" spans="1:12" ht="34.5" customHeight="1" x14ac:dyDescent="0.2">
      <c r="A70" s="281">
        <v>12</v>
      </c>
      <c r="B70" s="261" t="s">
        <v>171</v>
      </c>
      <c r="C70" s="217"/>
      <c r="D70" s="284">
        <v>88.13</v>
      </c>
      <c r="E70" s="333">
        <v>90</v>
      </c>
      <c r="F70" s="356" t="s">
        <v>172</v>
      </c>
      <c r="G70" s="357"/>
      <c r="H70" s="285">
        <f t="shared" si="6"/>
        <v>90</v>
      </c>
      <c r="I70" s="219"/>
      <c r="J70" s="220"/>
      <c r="K70" s="221"/>
      <c r="L70" s="222"/>
    </row>
    <row r="71" spans="1:12" ht="30.75" customHeight="1" x14ac:dyDescent="0.2">
      <c r="A71" s="286"/>
      <c r="B71" s="287" t="s">
        <v>173</v>
      </c>
      <c r="C71" s="288"/>
      <c r="D71" s="289">
        <v>2120</v>
      </c>
      <c r="E71" s="334">
        <v>2068</v>
      </c>
      <c r="F71" s="290">
        <v>1894</v>
      </c>
      <c r="G71" s="290">
        <v>1906</v>
      </c>
      <c r="H71" s="290">
        <f t="shared" si="6"/>
        <v>2068</v>
      </c>
      <c r="I71" s="358" t="s">
        <v>174</v>
      </c>
      <c r="J71" s="359"/>
      <c r="K71" s="359"/>
      <c r="L71" s="360"/>
    </row>
    <row r="72" spans="1:12" ht="15.75" x14ac:dyDescent="0.25">
      <c r="A72" s="335"/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</row>
  </sheetData>
  <mergeCells count="16">
    <mergeCell ref="A72:L72"/>
    <mergeCell ref="A1:B1"/>
    <mergeCell ref="A2:L2"/>
    <mergeCell ref="A3:L3"/>
    <mergeCell ref="A5:A6"/>
    <mergeCell ref="B5:B6"/>
    <mergeCell ref="C5:C6"/>
    <mergeCell ref="D5:D6"/>
    <mergeCell ref="E5:H5"/>
    <mergeCell ref="I5:J5"/>
    <mergeCell ref="K5:K6"/>
    <mergeCell ref="L5:L6"/>
    <mergeCell ref="I51:L51"/>
    <mergeCell ref="I61:L61"/>
    <mergeCell ref="F70:G70"/>
    <mergeCell ref="I71:L71"/>
  </mergeCells>
  <pageMargins left="0.2" right="0.2" top="0.36" bottom="0.33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52"/>
  <sheetViews>
    <sheetView zoomScaleNormal="100" zoomScaleSheetLayoutView="9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J9" sqref="BJ9"/>
    </sheetView>
  </sheetViews>
  <sheetFormatPr defaultRowHeight="15" x14ac:dyDescent="0.25"/>
  <cols>
    <col min="1" max="1" width="2.42578125" style="103" customWidth="1"/>
    <col min="2" max="2" width="13.7109375" style="103" customWidth="1"/>
    <col min="3" max="3" width="5.5703125" style="103" customWidth="1"/>
    <col min="4" max="4" width="6.140625" style="103" customWidth="1"/>
    <col min="5" max="5" width="8.140625" style="103" customWidth="1"/>
    <col min="6" max="6" width="6.85546875" style="103" customWidth="1"/>
    <col min="7" max="7" width="6.7109375" style="103" customWidth="1"/>
    <col min="8" max="8" width="6" style="103" customWidth="1"/>
    <col min="9" max="10" width="10" style="103" hidden="1" customWidth="1"/>
    <col min="11" max="11" width="10.5703125" style="103" hidden="1" customWidth="1"/>
    <col min="12" max="12" width="10.85546875" style="103" hidden="1" customWidth="1"/>
    <col min="13" max="20" width="11.5703125" style="103" hidden="1" customWidth="1"/>
    <col min="21" max="21" width="6.140625" style="103" customWidth="1"/>
    <col min="22" max="23" width="6" style="103" customWidth="1"/>
    <col min="24" max="24" width="5.42578125" style="103" customWidth="1"/>
    <col min="25" max="36" width="11.5703125" style="103" hidden="1" customWidth="1"/>
    <col min="37" max="38" width="6.7109375" style="103" customWidth="1"/>
    <col min="39" max="39" width="6.5703125" style="103" customWidth="1"/>
    <col min="40" max="40" width="5.140625" style="103" customWidth="1"/>
    <col min="41" max="51" width="11.5703125" style="103" hidden="1" customWidth="1"/>
    <col min="52" max="52" width="10.85546875" style="103" hidden="1" customWidth="1"/>
    <col min="53" max="53" width="11" style="103" hidden="1" customWidth="1"/>
    <col min="54" max="54" width="6.7109375" style="114" customWidth="1"/>
    <col min="55" max="55" width="5.5703125" style="103" customWidth="1"/>
    <col min="56" max="56" width="0.28515625" style="103" hidden="1" customWidth="1"/>
    <col min="57" max="57" width="5.85546875" style="103" customWidth="1"/>
    <col min="58" max="58" width="6.85546875" style="103" customWidth="1"/>
    <col min="59" max="59" width="7.140625" style="103" hidden="1" customWidth="1"/>
    <col min="60" max="60" width="6.5703125" style="103" customWidth="1"/>
    <col min="61" max="64" width="9.140625" style="103"/>
    <col min="65" max="65" width="9.85546875" style="103" bestFit="1" customWidth="1"/>
    <col min="66" max="16384" width="9.140625" style="103"/>
  </cols>
  <sheetData>
    <row r="1" spans="1:60" ht="17.25" customHeight="1" x14ac:dyDescent="0.25">
      <c r="A1" s="365" t="s">
        <v>70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</row>
    <row r="2" spans="1:60" ht="15.75" customHeight="1" x14ac:dyDescent="0.25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</row>
    <row r="3" spans="1:60" s="128" customFormat="1" ht="18.75" customHeight="1" x14ac:dyDescent="0.2">
      <c r="A3" s="367" t="s">
        <v>32</v>
      </c>
      <c r="B3" s="367" t="s">
        <v>33</v>
      </c>
      <c r="C3" s="361" t="s">
        <v>39</v>
      </c>
      <c r="D3" s="361"/>
      <c r="E3" s="367" t="s">
        <v>35</v>
      </c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2" t="s">
        <v>67</v>
      </c>
      <c r="BB3" s="368" t="s">
        <v>58</v>
      </c>
      <c r="BC3" s="361" t="s">
        <v>71</v>
      </c>
      <c r="BD3" s="361" t="s">
        <v>59</v>
      </c>
      <c r="BE3" s="361" t="s">
        <v>63</v>
      </c>
      <c r="BF3" s="361" t="s">
        <v>60</v>
      </c>
      <c r="BG3" s="361" t="s">
        <v>61</v>
      </c>
      <c r="BH3" s="361" t="s">
        <v>62</v>
      </c>
    </row>
    <row r="4" spans="1:60" s="128" customFormat="1" ht="18" customHeight="1" x14ac:dyDescent="0.2">
      <c r="A4" s="367"/>
      <c r="B4" s="367"/>
      <c r="C4" s="361"/>
      <c r="D4" s="361"/>
      <c r="E4" s="361" t="s">
        <v>68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 t="s">
        <v>36</v>
      </c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 t="s">
        <v>37</v>
      </c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2"/>
      <c r="BB4" s="368"/>
      <c r="BC4" s="361"/>
      <c r="BD4" s="361"/>
      <c r="BE4" s="361"/>
      <c r="BF4" s="361"/>
      <c r="BG4" s="361"/>
      <c r="BH4" s="361"/>
    </row>
    <row r="5" spans="1:60" s="128" customFormat="1" ht="18.75" customHeight="1" x14ac:dyDescent="0.2">
      <c r="A5" s="367"/>
      <c r="B5" s="367"/>
      <c r="C5" s="367" t="s">
        <v>13</v>
      </c>
      <c r="D5" s="367" t="s">
        <v>16</v>
      </c>
      <c r="E5" s="361" t="s">
        <v>13</v>
      </c>
      <c r="F5" s="361" t="s">
        <v>40</v>
      </c>
      <c r="G5" s="361" t="s">
        <v>30</v>
      </c>
      <c r="H5" s="361" t="s">
        <v>69</v>
      </c>
      <c r="I5" s="361" t="s">
        <v>31</v>
      </c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 t="s">
        <v>13</v>
      </c>
      <c r="V5" s="361" t="s">
        <v>40</v>
      </c>
      <c r="W5" s="361" t="s">
        <v>30</v>
      </c>
      <c r="X5" s="361" t="s">
        <v>69</v>
      </c>
      <c r="Y5" s="361" t="s">
        <v>31</v>
      </c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 t="s">
        <v>13</v>
      </c>
      <c r="AL5" s="361" t="s">
        <v>40</v>
      </c>
      <c r="AM5" s="361" t="s">
        <v>30</v>
      </c>
      <c r="AN5" s="361" t="s">
        <v>69</v>
      </c>
      <c r="AO5" s="361" t="s">
        <v>31</v>
      </c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2"/>
      <c r="BB5" s="368"/>
      <c r="BC5" s="361"/>
      <c r="BD5" s="361"/>
      <c r="BE5" s="361"/>
      <c r="BF5" s="361"/>
      <c r="BG5" s="361"/>
      <c r="BH5" s="361"/>
    </row>
    <row r="6" spans="1:60" s="128" customFormat="1" ht="32.25" customHeight="1" x14ac:dyDescent="0.2">
      <c r="A6" s="367"/>
      <c r="B6" s="367"/>
      <c r="C6" s="367"/>
      <c r="D6" s="367"/>
      <c r="E6" s="361"/>
      <c r="F6" s="361"/>
      <c r="G6" s="361"/>
      <c r="H6" s="361"/>
      <c r="I6" s="131" t="s">
        <v>18</v>
      </c>
      <c r="J6" s="131" t="s">
        <v>19</v>
      </c>
      <c r="K6" s="131" t="s">
        <v>20</v>
      </c>
      <c r="L6" s="131" t="s">
        <v>21</v>
      </c>
      <c r="M6" s="131" t="s">
        <v>22</v>
      </c>
      <c r="N6" s="131" t="s">
        <v>23</v>
      </c>
      <c r="O6" s="131" t="s">
        <v>24</v>
      </c>
      <c r="P6" s="131" t="s">
        <v>25</v>
      </c>
      <c r="Q6" s="131" t="s">
        <v>26</v>
      </c>
      <c r="R6" s="131" t="s">
        <v>27</v>
      </c>
      <c r="S6" s="131" t="s">
        <v>28</v>
      </c>
      <c r="T6" s="131" t="s">
        <v>29</v>
      </c>
      <c r="U6" s="361"/>
      <c r="V6" s="361"/>
      <c r="W6" s="361"/>
      <c r="X6" s="361"/>
      <c r="Y6" s="131" t="s">
        <v>18</v>
      </c>
      <c r="Z6" s="131" t="s">
        <v>19</v>
      </c>
      <c r="AA6" s="131" t="s">
        <v>20</v>
      </c>
      <c r="AB6" s="131" t="s">
        <v>21</v>
      </c>
      <c r="AC6" s="131" t="s">
        <v>22</v>
      </c>
      <c r="AD6" s="131" t="s">
        <v>23</v>
      </c>
      <c r="AE6" s="131" t="s">
        <v>24</v>
      </c>
      <c r="AF6" s="131" t="s">
        <v>25</v>
      </c>
      <c r="AG6" s="131" t="s">
        <v>26</v>
      </c>
      <c r="AH6" s="131" t="s">
        <v>27</v>
      </c>
      <c r="AI6" s="131" t="s">
        <v>28</v>
      </c>
      <c r="AJ6" s="131" t="s">
        <v>29</v>
      </c>
      <c r="AK6" s="361"/>
      <c r="AL6" s="361"/>
      <c r="AM6" s="361"/>
      <c r="AN6" s="361"/>
      <c r="AO6" s="131" t="s">
        <v>18</v>
      </c>
      <c r="AP6" s="131" t="s">
        <v>19</v>
      </c>
      <c r="AQ6" s="131" t="s">
        <v>20</v>
      </c>
      <c r="AR6" s="131" t="s">
        <v>21</v>
      </c>
      <c r="AS6" s="131" t="s">
        <v>22</v>
      </c>
      <c r="AT6" s="131" t="s">
        <v>23</v>
      </c>
      <c r="AU6" s="131" t="s">
        <v>24</v>
      </c>
      <c r="AV6" s="131" t="s">
        <v>25</v>
      </c>
      <c r="AW6" s="131" t="s">
        <v>26</v>
      </c>
      <c r="AX6" s="131" t="s">
        <v>27</v>
      </c>
      <c r="AY6" s="131" t="s">
        <v>28</v>
      </c>
      <c r="AZ6" s="131" t="s">
        <v>29</v>
      </c>
      <c r="BA6" s="362"/>
      <c r="BB6" s="368"/>
      <c r="BC6" s="361"/>
      <c r="BD6" s="361"/>
      <c r="BE6" s="361"/>
      <c r="BF6" s="361"/>
      <c r="BG6" s="361"/>
      <c r="BH6" s="361"/>
    </row>
    <row r="7" spans="1:60" s="128" customFormat="1" ht="24.75" customHeight="1" x14ac:dyDescent="0.2">
      <c r="A7" s="132"/>
      <c r="B7" s="132" t="s">
        <v>17</v>
      </c>
      <c r="C7" s="132">
        <f>C8+C13</f>
        <v>1590</v>
      </c>
      <c r="D7" s="132">
        <f>D8+D13</f>
        <v>2231</v>
      </c>
      <c r="E7" s="132">
        <f>E8+E13</f>
        <v>1238300</v>
      </c>
      <c r="F7" s="132">
        <f>F8+F13</f>
        <v>473477</v>
      </c>
      <c r="G7" s="132">
        <f>G8+G13</f>
        <v>523277</v>
      </c>
      <c r="H7" s="133">
        <f t="shared" ref="H7:H14" si="0">G7/E7*100</f>
        <v>42.257691997092792</v>
      </c>
      <c r="I7" s="132">
        <f t="shared" ref="I7:BB7" si="1">I8+I13</f>
        <v>56917</v>
      </c>
      <c r="J7" s="132">
        <f t="shared" si="1"/>
        <v>80547</v>
      </c>
      <c r="K7" s="132">
        <f t="shared" si="1"/>
        <v>97811</v>
      </c>
      <c r="L7" s="132">
        <f t="shared" si="1"/>
        <v>94702</v>
      </c>
      <c r="M7" s="132">
        <f t="shared" si="1"/>
        <v>95385</v>
      </c>
      <c r="N7" s="132">
        <f t="shared" si="1"/>
        <v>97915</v>
      </c>
      <c r="O7" s="132">
        <f t="shared" si="1"/>
        <v>0</v>
      </c>
      <c r="P7" s="132">
        <f t="shared" si="1"/>
        <v>0</v>
      </c>
      <c r="Q7" s="132">
        <f t="shared" si="1"/>
        <v>0</v>
      </c>
      <c r="R7" s="132">
        <f t="shared" si="1"/>
        <v>0</v>
      </c>
      <c r="S7" s="132">
        <f t="shared" si="1"/>
        <v>0</v>
      </c>
      <c r="T7" s="132">
        <f t="shared" si="1"/>
        <v>0</v>
      </c>
      <c r="U7" s="132">
        <f t="shared" si="1"/>
        <v>83100</v>
      </c>
      <c r="V7" s="132">
        <f t="shared" si="1"/>
        <v>42530</v>
      </c>
      <c r="W7" s="132">
        <f t="shared" si="1"/>
        <v>39168</v>
      </c>
      <c r="X7" s="133">
        <f t="shared" ref="X7:X14" si="2">W7/U7*100</f>
        <v>47.133574007220219</v>
      </c>
      <c r="Y7" s="132">
        <f t="shared" si="1"/>
        <v>5044</v>
      </c>
      <c r="Z7" s="132">
        <f t="shared" si="1"/>
        <v>5754</v>
      </c>
      <c r="AA7" s="132">
        <f t="shared" si="1"/>
        <v>6653</v>
      </c>
      <c r="AB7" s="132">
        <f t="shared" si="1"/>
        <v>6940</v>
      </c>
      <c r="AC7" s="132">
        <f t="shared" si="1"/>
        <v>7365</v>
      </c>
      <c r="AD7" s="132">
        <f t="shared" si="1"/>
        <v>7412</v>
      </c>
      <c r="AE7" s="132">
        <f t="shared" si="1"/>
        <v>0</v>
      </c>
      <c r="AF7" s="132">
        <f t="shared" si="1"/>
        <v>0</v>
      </c>
      <c r="AG7" s="132">
        <f t="shared" si="1"/>
        <v>0</v>
      </c>
      <c r="AH7" s="132">
        <f t="shared" si="1"/>
        <v>0</v>
      </c>
      <c r="AI7" s="132">
        <f t="shared" si="1"/>
        <v>0</v>
      </c>
      <c r="AJ7" s="132">
        <f t="shared" si="1"/>
        <v>0</v>
      </c>
      <c r="AK7" s="132">
        <f t="shared" si="1"/>
        <v>612000</v>
      </c>
      <c r="AL7" s="132">
        <f t="shared" si="1"/>
        <v>233504</v>
      </c>
      <c r="AM7" s="132">
        <f t="shared" si="1"/>
        <v>252913.17900707514</v>
      </c>
      <c r="AN7" s="133">
        <f>AM7/AK7%</f>
        <v>41.325682844293326</v>
      </c>
      <c r="AO7" s="132">
        <f t="shared" si="1"/>
        <v>29493</v>
      </c>
      <c r="AP7" s="132">
        <f t="shared" si="1"/>
        <v>37182</v>
      </c>
      <c r="AQ7" s="132">
        <f t="shared" si="1"/>
        <v>46820</v>
      </c>
      <c r="AR7" s="132">
        <f t="shared" si="1"/>
        <v>43304</v>
      </c>
      <c r="AS7" s="132">
        <f t="shared" si="1"/>
        <v>42681</v>
      </c>
      <c r="AT7" s="132">
        <f t="shared" si="1"/>
        <v>42105</v>
      </c>
      <c r="AU7" s="132">
        <f t="shared" si="1"/>
        <v>0</v>
      </c>
      <c r="AV7" s="132">
        <f t="shared" si="1"/>
        <v>0</v>
      </c>
      <c r="AW7" s="132">
        <f t="shared" si="1"/>
        <v>0</v>
      </c>
      <c r="AX7" s="132">
        <f t="shared" si="1"/>
        <v>0</v>
      </c>
      <c r="AY7" s="132">
        <f t="shared" si="1"/>
        <v>0</v>
      </c>
      <c r="AZ7" s="132">
        <f t="shared" si="1"/>
        <v>0</v>
      </c>
      <c r="BA7" s="132"/>
      <c r="BB7" s="132">
        <f t="shared" si="1"/>
        <v>241220</v>
      </c>
      <c r="BC7" s="294">
        <f>BB7/(C7*183)*100</f>
        <v>82.902017390108952</v>
      </c>
      <c r="BD7" s="294">
        <f t="shared" ref="BD7:BD13" si="3">BB7/(D7*304)*100</f>
        <v>35.566420533629007</v>
      </c>
      <c r="BE7" s="295">
        <f>BB7/W7</f>
        <v>6.1585988562091503</v>
      </c>
      <c r="BF7" s="296">
        <f>BF8+BF13</f>
        <v>20888</v>
      </c>
      <c r="BG7" s="296">
        <f>BG8+BG13</f>
        <v>25516</v>
      </c>
      <c r="BH7" s="297">
        <f>BF7/BG7*100</f>
        <v>81.86236087160998</v>
      </c>
    </row>
    <row r="8" spans="1:60" s="129" customFormat="1" ht="24.75" customHeight="1" x14ac:dyDescent="0.25">
      <c r="A8" s="134" t="s">
        <v>11</v>
      </c>
      <c r="B8" s="135" t="s">
        <v>0</v>
      </c>
      <c r="C8" s="134">
        <f>SUM(C9:C12)</f>
        <v>670</v>
      </c>
      <c r="D8" s="134">
        <f>SUM(D9:D12)</f>
        <v>904</v>
      </c>
      <c r="E8" s="134">
        <f>SUM(E9:E12)</f>
        <v>142300</v>
      </c>
      <c r="F8" s="134">
        <f t="shared" ref="F8:BG8" si="4">SUM(F9:F12)</f>
        <v>97924</v>
      </c>
      <c r="G8" s="134">
        <f t="shared" si="4"/>
        <v>68468</v>
      </c>
      <c r="H8" s="133">
        <f t="shared" si="0"/>
        <v>48.115249472944484</v>
      </c>
      <c r="I8" s="134">
        <f t="shared" si="4"/>
        <v>9245</v>
      </c>
      <c r="J8" s="134">
        <f t="shared" si="4"/>
        <v>10150</v>
      </c>
      <c r="K8" s="134">
        <f t="shared" si="4"/>
        <v>11279</v>
      </c>
      <c r="L8" s="134">
        <f t="shared" si="4"/>
        <v>12784</v>
      </c>
      <c r="M8" s="134">
        <f t="shared" si="4"/>
        <v>11947</v>
      </c>
      <c r="N8" s="134">
        <f t="shared" si="4"/>
        <v>13063</v>
      </c>
      <c r="O8" s="134">
        <f t="shared" si="4"/>
        <v>0</v>
      </c>
      <c r="P8" s="134">
        <f t="shared" si="4"/>
        <v>0</v>
      </c>
      <c r="Q8" s="134">
        <f t="shared" si="4"/>
        <v>0</v>
      </c>
      <c r="R8" s="134">
        <f t="shared" si="4"/>
        <v>0</v>
      </c>
      <c r="S8" s="134">
        <f t="shared" si="4"/>
        <v>0</v>
      </c>
      <c r="T8" s="134">
        <f t="shared" si="4"/>
        <v>0</v>
      </c>
      <c r="U8" s="134">
        <f t="shared" si="4"/>
        <v>32300</v>
      </c>
      <c r="V8" s="134">
        <f t="shared" si="4"/>
        <v>24267</v>
      </c>
      <c r="W8" s="134">
        <f t="shared" si="4"/>
        <v>16601</v>
      </c>
      <c r="X8" s="134"/>
      <c r="Y8" s="134">
        <f t="shared" si="4"/>
        <v>2262</v>
      </c>
      <c r="Z8" s="134">
        <f t="shared" si="4"/>
        <v>2519</v>
      </c>
      <c r="AA8" s="134">
        <f t="shared" si="4"/>
        <v>2752</v>
      </c>
      <c r="AB8" s="134">
        <f t="shared" si="4"/>
        <v>2983</v>
      </c>
      <c r="AC8" s="134">
        <f t="shared" si="4"/>
        <v>2904</v>
      </c>
      <c r="AD8" s="134">
        <f t="shared" si="4"/>
        <v>3181</v>
      </c>
      <c r="AE8" s="134">
        <f t="shared" si="4"/>
        <v>0</v>
      </c>
      <c r="AF8" s="134">
        <f t="shared" si="4"/>
        <v>0</v>
      </c>
      <c r="AG8" s="134">
        <f t="shared" si="4"/>
        <v>0</v>
      </c>
      <c r="AH8" s="134">
        <f t="shared" si="4"/>
        <v>0</v>
      </c>
      <c r="AI8" s="134">
        <f t="shared" si="4"/>
        <v>0</v>
      </c>
      <c r="AJ8" s="134">
        <f t="shared" si="4"/>
        <v>0</v>
      </c>
      <c r="AK8" s="134">
        <f t="shared" si="4"/>
        <v>104000</v>
      </c>
      <c r="AL8" s="134">
        <f t="shared" si="4"/>
        <v>73141</v>
      </c>
      <c r="AM8" s="134">
        <f t="shared" si="4"/>
        <v>53298</v>
      </c>
      <c r="AN8" s="133">
        <f t="shared" ref="AN8:AN14" si="5">AM8/AK8%</f>
        <v>51.248076923076923</v>
      </c>
      <c r="AO8" s="134">
        <f t="shared" si="4"/>
        <v>6753</v>
      </c>
      <c r="AP8" s="134">
        <f t="shared" si="4"/>
        <v>7280</v>
      </c>
      <c r="AQ8" s="134">
        <f t="shared" si="4"/>
        <v>11500</v>
      </c>
      <c r="AR8" s="134">
        <f t="shared" si="4"/>
        <v>9439</v>
      </c>
      <c r="AS8" s="134">
        <f t="shared" si="4"/>
        <v>8807</v>
      </c>
      <c r="AT8" s="134">
        <f t="shared" si="4"/>
        <v>9519</v>
      </c>
      <c r="AU8" s="134">
        <f t="shared" si="4"/>
        <v>0</v>
      </c>
      <c r="AV8" s="134">
        <f t="shared" si="4"/>
        <v>0</v>
      </c>
      <c r="AW8" s="134">
        <f t="shared" si="4"/>
        <v>0</v>
      </c>
      <c r="AX8" s="134">
        <f t="shared" si="4"/>
        <v>0</v>
      </c>
      <c r="AY8" s="134">
        <f t="shared" si="4"/>
        <v>0</v>
      </c>
      <c r="AZ8" s="134">
        <f t="shared" si="4"/>
        <v>0</v>
      </c>
      <c r="BA8" s="134"/>
      <c r="BB8" s="134">
        <f t="shared" si="4"/>
        <v>111821</v>
      </c>
      <c r="BC8" s="294">
        <f t="shared" ref="BC8:BC21" si="6">BB8/(C8*183)*100</f>
        <v>91.200554604029037</v>
      </c>
      <c r="BD8" s="294">
        <f t="shared" si="3"/>
        <v>40.68940673032138</v>
      </c>
      <c r="BE8" s="295">
        <f t="shared" ref="BE8:BE13" si="7">BB8/W8</f>
        <v>6.7357990482501053</v>
      </c>
      <c r="BF8" s="134">
        <f t="shared" si="4"/>
        <v>6624</v>
      </c>
      <c r="BG8" s="134">
        <f t="shared" si="4"/>
        <v>9376</v>
      </c>
      <c r="BH8" s="298">
        <f t="shared" ref="BH8:BH16" si="8">BF8/BG8*100</f>
        <v>70.648464163822524</v>
      </c>
    </row>
    <row r="9" spans="1:60" s="130" customFormat="1" ht="24.75" customHeight="1" x14ac:dyDescent="0.2">
      <c r="A9" s="136">
        <v>1</v>
      </c>
      <c r="B9" s="137" t="s">
        <v>1</v>
      </c>
      <c r="C9" s="138">
        <v>500</v>
      </c>
      <c r="D9" s="136">
        <v>674</v>
      </c>
      <c r="E9" s="136">
        <v>120000</v>
      </c>
      <c r="F9" s="139">
        <v>89292</v>
      </c>
      <c r="G9" s="136">
        <f>SUM(I9:T9)</f>
        <v>57228</v>
      </c>
      <c r="H9" s="140">
        <f t="shared" si="0"/>
        <v>47.69</v>
      </c>
      <c r="I9" s="141">
        <f>237+7786</f>
        <v>8023</v>
      </c>
      <c r="J9" s="141">
        <f>226+7988</f>
        <v>8214</v>
      </c>
      <c r="K9" s="141">
        <f>236+8854</f>
        <v>9090</v>
      </c>
      <c r="L9" s="141">
        <f>224+10529</f>
        <v>10753</v>
      </c>
      <c r="M9" s="141">
        <v>9987</v>
      </c>
      <c r="N9" s="142">
        <v>11161</v>
      </c>
      <c r="O9" s="143"/>
      <c r="P9" s="143"/>
      <c r="Q9" s="143"/>
      <c r="R9" s="143"/>
      <c r="S9" s="143"/>
      <c r="T9" s="143"/>
      <c r="U9" s="136">
        <v>28000</v>
      </c>
      <c r="V9" s="139">
        <v>22582</v>
      </c>
      <c r="W9" s="136">
        <f>SUM(Y9:AJ9)</f>
        <v>14048</v>
      </c>
      <c r="X9" s="140">
        <f t="shared" si="2"/>
        <v>50.171428571428564</v>
      </c>
      <c r="Y9" s="141">
        <v>1988</v>
      </c>
      <c r="Z9" s="141">
        <v>2058</v>
      </c>
      <c r="AA9" s="141">
        <v>2261</v>
      </c>
      <c r="AB9" s="141">
        <v>2548</v>
      </c>
      <c r="AC9" s="141">
        <v>2430</v>
      </c>
      <c r="AD9" s="142">
        <v>2763</v>
      </c>
      <c r="AE9" s="143"/>
      <c r="AF9" s="143"/>
      <c r="AG9" s="143"/>
      <c r="AH9" s="143"/>
      <c r="AI9" s="143"/>
      <c r="AJ9" s="143"/>
      <c r="AK9" s="136">
        <v>88000</v>
      </c>
      <c r="AL9" s="139">
        <v>66710</v>
      </c>
      <c r="AM9" s="136">
        <f>SUM(AO9:AZ9)</f>
        <v>41869</v>
      </c>
      <c r="AN9" s="140">
        <f t="shared" si="5"/>
        <v>47.578409090909091</v>
      </c>
      <c r="AO9" s="141">
        <v>5798</v>
      </c>
      <c r="AP9" s="141">
        <v>5930</v>
      </c>
      <c r="AQ9" s="141">
        <v>6593</v>
      </c>
      <c r="AR9" s="141">
        <v>7981</v>
      </c>
      <c r="AS9" s="141">
        <v>7397</v>
      </c>
      <c r="AT9" s="141">
        <v>8170</v>
      </c>
      <c r="AU9" s="143"/>
      <c r="AV9" s="143"/>
      <c r="AW9" s="143"/>
      <c r="AX9" s="143"/>
      <c r="AY9" s="143"/>
      <c r="AZ9" s="143"/>
      <c r="BA9" s="143">
        <v>55541</v>
      </c>
      <c r="BB9" s="139">
        <v>76547</v>
      </c>
      <c r="BC9" s="294">
        <f t="shared" si="6"/>
        <v>83.65792349726776</v>
      </c>
      <c r="BD9" s="299">
        <f t="shared" si="3"/>
        <v>37.358952834608779</v>
      </c>
      <c r="BE9" s="299">
        <f t="shared" si="7"/>
        <v>5.4489607061503413</v>
      </c>
      <c r="BF9" s="300">
        <v>5021</v>
      </c>
      <c r="BG9" s="300">
        <v>6456</v>
      </c>
      <c r="BH9" s="301">
        <f t="shared" si="8"/>
        <v>77.772614622057006</v>
      </c>
    </row>
    <row r="10" spans="1:60" s="130" customFormat="1" ht="24.75" customHeight="1" x14ac:dyDescent="0.2">
      <c r="A10" s="136">
        <v>2</v>
      </c>
      <c r="B10" s="137" t="s">
        <v>64</v>
      </c>
      <c r="C10" s="138">
        <v>80</v>
      </c>
      <c r="D10" s="136">
        <v>80</v>
      </c>
      <c r="E10" s="136">
        <v>4300</v>
      </c>
      <c r="F10" s="139">
        <v>1382</v>
      </c>
      <c r="G10" s="136">
        <v>1558</v>
      </c>
      <c r="H10" s="140">
        <v>36.232558139534881</v>
      </c>
      <c r="I10" s="141">
        <v>196</v>
      </c>
      <c r="J10" s="141">
        <v>289</v>
      </c>
      <c r="K10" s="141">
        <v>291</v>
      </c>
      <c r="L10" s="141">
        <v>295</v>
      </c>
      <c r="M10" s="141">
        <v>243</v>
      </c>
      <c r="N10" s="142">
        <v>244</v>
      </c>
      <c r="O10" s="143"/>
      <c r="P10" s="143"/>
      <c r="Q10" s="143"/>
      <c r="R10" s="143"/>
      <c r="S10" s="143"/>
      <c r="T10" s="143"/>
      <c r="U10" s="136">
        <v>1800</v>
      </c>
      <c r="V10" s="139">
        <v>712</v>
      </c>
      <c r="W10" s="136">
        <f>SUM(Y10:AJ10)</f>
        <v>724</v>
      </c>
      <c r="X10" s="140">
        <f t="shared" si="2"/>
        <v>40.222222222222221</v>
      </c>
      <c r="Y10" s="141">
        <v>82</v>
      </c>
      <c r="Z10" s="141">
        <v>125</v>
      </c>
      <c r="AA10" s="141">
        <v>127</v>
      </c>
      <c r="AB10" s="141">
        <v>143</v>
      </c>
      <c r="AC10" s="141">
        <v>134</v>
      </c>
      <c r="AD10" s="142">
        <v>113</v>
      </c>
      <c r="AE10" s="143"/>
      <c r="AF10" s="143"/>
      <c r="AG10" s="143"/>
      <c r="AH10" s="143"/>
      <c r="AI10" s="143"/>
      <c r="AJ10" s="143"/>
      <c r="AK10" s="136">
        <v>1800</v>
      </c>
      <c r="AL10" s="139">
        <v>558</v>
      </c>
      <c r="AM10" s="136">
        <f>SUM(AO10:AZ10)</f>
        <v>681</v>
      </c>
      <c r="AN10" s="140">
        <f t="shared" si="5"/>
        <v>37.833333333333336</v>
      </c>
      <c r="AO10" s="141">
        <v>99</v>
      </c>
      <c r="AP10" s="141">
        <v>125</v>
      </c>
      <c r="AQ10" s="141">
        <v>140</v>
      </c>
      <c r="AR10" s="141">
        <v>120</v>
      </c>
      <c r="AS10" s="141">
        <v>97</v>
      </c>
      <c r="AT10" s="141">
        <v>100</v>
      </c>
      <c r="AU10" s="143"/>
      <c r="AV10" s="143"/>
      <c r="AW10" s="143"/>
      <c r="AX10" s="143"/>
      <c r="AY10" s="143"/>
      <c r="AZ10" s="143"/>
      <c r="BA10" s="139">
        <v>7050</v>
      </c>
      <c r="BB10" s="139">
        <v>6700</v>
      </c>
      <c r="BC10" s="294">
        <f t="shared" si="6"/>
        <v>45.765027322404372</v>
      </c>
      <c r="BD10" s="299">
        <f t="shared" si="3"/>
        <v>27.549342105263158</v>
      </c>
      <c r="BE10" s="299">
        <f t="shared" si="7"/>
        <v>9.2541436464088402</v>
      </c>
      <c r="BF10" s="300">
        <v>392</v>
      </c>
      <c r="BG10" s="300">
        <v>755</v>
      </c>
      <c r="BH10" s="301">
        <f t="shared" si="8"/>
        <v>51.920529801324498</v>
      </c>
    </row>
    <row r="11" spans="1:60" s="130" customFormat="1" ht="24.75" customHeight="1" x14ac:dyDescent="0.2">
      <c r="A11" s="136">
        <v>3</v>
      </c>
      <c r="B11" s="137" t="s">
        <v>3</v>
      </c>
      <c r="C11" s="138">
        <v>90</v>
      </c>
      <c r="D11" s="136">
        <v>150</v>
      </c>
      <c r="E11" s="136">
        <v>6000</v>
      </c>
      <c r="F11" s="139">
        <v>2298</v>
      </c>
      <c r="G11" s="136">
        <f>SUM(I11:T11)</f>
        <v>3471</v>
      </c>
      <c r="H11" s="140">
        <f>G11/E11*100</f>
        <v>57.85</v>
      </c>
      <c r="I11" s="141">
        <v>387</v>
      </c>
      <c r="J11" s="141">
        <v>604</v>
      </c>
      <c r="K11" s="141">
        <v>684</v>
      </c>
      <c r="L11" s="141">
        <v>626</v>
      </c>
      <c r="M11" s="141">
        <v>611</v>
      </c>
      <c r="N11" s="142">
        <v>559</v>
      </c>
      <c r="O11" s="143"/>
      <c r="P11" s="143"/>
      <c r="Q11" s="143"/>
      <c r="R11" s="143"/>
      <c r="S11" s="143"/>
      <c r="T11" s="143"/>
      <c r="U11" s="136">
        <v>2500</v>
      </c>
      <c r="V11" s="139">
        <v>973</v>
      </c>
      <c r="W11" s="136">
        <f>SUM(Y11:AJ11)</f>
        <v>1829</v>
      </c>
      <c r="X11" s="140">
        <f>W11/U11*100</f>
        <v>73.16</v>
      </c>
      <c r="Y11" s="141">
        <v>192</v>
      </c>
      <c r="Z11" s="141">
        <v>336</v>
      </c>
      <c r="AA11" s="141">
        <v>364</v>
      </c>
      <c r="AB11" s="141">
        <v>292</v>
      </c>
      <c r="AC11" s="141">
        <v>340</v>
      </c>
      <c r="AD11" s="142">
        <v>305</v>
      </c>
      <c r="AE11" s="143"/>
      <c r="AF11" s="143"/>
      <c r="AG11" s="143"/>
      <c r="AH11" s="143"/>
      <c r="AI11" s="143"/>
      <c r="AJ11" s="143"/>
      <c r="AK11" s="136">
        <v>3200</v>
      </c>
      <c r="AL11" s="139">
        <v>1213</v>
      </c>
      <c r="AM11" s="136">
        <f>SUM(AO11:AZ11)</f>
        <v>1500</v>
      </c>
      <c r="AN11" s="140">
        <f>AM11/AK11*100</f>
        <v>46.875</v>
      </c>
      <c r="AO11" s="141">
        <v>195</v>
      </c>
      <c r="AP11" s="141">
        <v>239</v>
      </c>
      <c r="AQ11" s="141">
        <v>302</v>
      </c>
      <c r="AR11" s="141">
        <v>289</v>
      </c>
      <c r="AS11" s="141">
        <v>255</v>
      </c>
      <c r="AT11" s="141">
        <v>220</v>
      </c>
      <c r="AU11" s="143"/>
      <c r="AV11" s="143"/>
      <c r="AW11" s="143"/>
      <c r="AX11" s="143"/>
      <c r="AY11" s="143"/>
      <c r="AZ11" s="143"/>
      <c r="BA11" s="143">
        <v>10423</v>
      </c>
      <c r="BB11" s="139">
        <v>28574</v>
      </c>
      <c r="BC11" s="294">
        <f t="shared" si="6"/>
        <v>173.49119611414693</v>
      </c>
      <c r="BD11" s="299">
        <f t="shared" si="3"/>
        <v>62.662280701754391</v>
      </c>
      <c r="BE11" s="299">
        <f t="shared" si="7"/>
        <v>15.622744669218152</v>
      </c>
      <c r="BF11" s="300">
        <v>1211</v>
      </c>
      <c r="BG11" s="300">
        <v>2165</v>
      </c>
      <c r="BH11" s="301">
        <f t="shared" si="8"/>
        <v>55.935334872979212</v>
      </c>
    </row>
    <row r="12" spans="1:60" s="130" customFormat="1" ht="24.75" customHeight="1" x14ac:dyDescent="0.2">
      <c r="A12" s="136">
        <v>4</v>
      </c>
      <c r="B12" s="137" t="s">
        <v>66</v>
      </c>
      <c r="C12" s="138">
        <v>0</v>
      </c>
      <c r="D12" s="136"/>
      <c r="E12" s="136">
        <v>12000</v>
      </c>
      <c r="F12" s="139">
        <v>4952</v>
      </c>
      <c r="G12" s="136">
        <f>SUM(I12:T12)</f>
        <v>6211</v>
      </c>
      <c r="H12" s="140">
        <f t="shared" si="0"/>
        <v>51.758333333333326</v>
      </c>
      <c r="I12" s="141">
        <v>639</v>
      </c>
      <c r="J12" s="141">
        <v>1043</v>
      </c>
      <c r="K12" s="141">
        <v>1214</v>
      </c>
      <c r="L12" s="141">
        <v>1110</v>
      </c>
      <c r="M12" s="141">
        <v>1106</v>
      </c>
      <c r="N12" s="142">
        <v>1099</v>
      </c>
      <c r="O12" s="143"/>
      <c r="P12" s="143"/>
      <c r="Q12" s="143"/>
      <c r="R12" s="143"/>
      <c r="S12" s="143"/>
      <c r="T12" s="143"/>
      <c r="U12" s="136">
        <v>0</v>
      </c>
      <c r="V12" s="139"/>
      <c r="W12" s="136">
        <f>SUM(Y12:AJ12)</f>
        <v>0</v>
      </c>
      <c r="X12" s="140" t="e">
        <f t="shared" si="2"/>
        <v>#DIV/0!</v>
      </c>
      <c r="Y12" s="141"/>
      <c r="Z12" s="141"/>
      <c r="AA12" s="141"/>
      <c r="AB12" s="141"/>
      <c r="AC12" s="141"/>
      <c r="AD12" s="142"/>
      <c r="AE12" s="143"/>
      <c r="AF12" s="143"/>
      <c r="AG12" s="143"/>
      <c r="AH12" s="143"/>
      <c r="AI12" s="143"/>
      <c r="AJ12" s="143"/>
      <c r="AK12" s="136">
        <v>11000</v>
      </c>
      <c r="AL12" s="139">
        <v>4660</v>
      </c>
      <c r="AM12" s="136">
        <f>SUM(AO12:AZ12)</f>
        <v>9248</v>
      </c>
      <c r="AN12" s="140">
        <f t="shared" si="5"/>
        <v>84.072727272727278</v>
      </c>
      <c r="AO12" s="141">
        <v>661</v>
      </c>
      <c r="AP12" s="141">
        <v>986</v>
      </c>
      <c r="AQ12" s="141">
        <v>4465</v>
      </c>
      <c r="AR12" s="141">
        <v>1049</v>
      </c>
      <c r="AS12" s="141">
        <v>1058</v>
      </c>
      <c r="AT12" s="141">
        <v>1029</v>
      </c>
      <c r="AU12" s="143"/>
      <c r="AV12" s="143"/>
      <c r="AW12" s="143"/>
      <c r="AX12" s="143"/>
      <c r="AY12" s="143"/>
      <c r="AZ12" s="143"/>
      <c r="BA12" s="139"/>
      <c r="BB12" s="139"/>
      <c r="BC12" s="294" t="e">
        <f t="shared" si="6"/>
        <v>#DIV/0!</v>
      </c>
      <c r="BD12" s="299" t="e">
        <f t="shared" si="3"/>
        <v>#DIV/0!</v>
      </c>
      <c r="BE12" s="299" t="e">
        <f t="shared" si="7"/>
        <v>#DIV/0!</v>
      </c>
      <c r="BF12" s="300"/>
      <c r="BG12" s="300"/>
      <c r="BH12" s="301" t="e">
        <f t="shared" si="8"/>
        <v>#DIV/0!</v>
      </c>
    </row>
    <row r="13" spans="1:60" s="129" customFormat="1" ht="24.75" customHeight="1" x14ac:dyDescent="0.25">
      <c r="A13" s="134" t="s">
        <v>12</v>
      </c>
      <c r="B13" s="135" t="s">
        <v>4</v>
      </c>
      <c r="C13" s="134">
        <f>SUM(C14:C21)</f>
        <v>920</v>
      </c>
      <c r="D13" s="134">
        <f>SUM(D14:D21)</f>
        <v>1327</v>
      </c>
      <c r="E13" s="134">
        <f>SUM(E14:E21)</f>
        <v>1096000</v>
      </c>
      <c r="F13" s="134">
        <f>SUM(F14:F21)</f>
        <v>375553</v>
      </c>
      <c r="G13" s="134">
        <f>SUM(G14:G21)</f>
        <v>454809</v>
      </c>
      <c r="H13" s="133">
        <f t="shared" si="0"/>
        <v>41.497171532846714</v>
      </c>
      <c r="I13" s="134">
        <f t="shared" ref="I13:T13" si="9">SUM(I14:I21)</f>
        <v>47672</v>
      </c>
      <c r="J13" s="134">
        <f t="shared" si="9"/>
        <v>70397</v>
      </c>
      <c r="K13" s="134">
        <f t="shared" si="9"/>
        <v>86532</v>
      </c>
      <c r="L13" s="134">
        <f t="shared" si="9"/>
        <v>81918</v>
      </c>
      <c r="M13" s="134">
        <f t="shared" si="9"/>
        <v>83438</v>
      </c>
      <c r="N13" s="134">
        <f t="shared" si="9"/>
        <v>84852</v>
      </c>
      <c r="O13" s="134">
        <f t="shared" si="9"/>
        <v>0</v>
      </c>
      <c r="P13" s="134">
        <f t="shared" si="9"/>
        <v>0</v>
      </c>
      <c r="Q13" s="134">
        <f t="shared" si="9"/>
        <v>0</v>
      </c>
      <c r="R13" s="134">
        <f t="shared" si="9"/>
        <v>0</v>
      </c>
      <c r="S13" s="134">
        <f t="shared" si="9"/>
        <v>0</v>
      </c>
      <c r="T13" s="134">
        <f t="shared" si="9"/>
        <v>0</v>
      </c>
      <c r="U13" s="134">
        <f>SUM(U14:U21)</f>
        <v>50800</v>
      </c>
      <c r="V13" s="134">
        <f>SUM(V14:V21)</f>
        <v>18263</v>
      </c>
      <c r="W13" s="134">
        <f>SUM(W14:W21)</f>
        <v>22567</v>
      </c>
      <c r="X13" s="133">
        <f t="shared" si="2"/>
        <v>44.423228346456696</v>
      </c>
      <c r="Y13" s="134">
        <f t="shared" ref="Y13:AJ13" si="10">SUM(Y14:Y21)</f>
        <v>2782</v>
      </c>
      <c r="Z13" s="134">
        <f t="shared" si="10"/>
        <v>3235</v>
      </c>
      <c r="AA13" s="134">
        <f t="shared" si="10"/>
        <v>3901</v>
      </c>
      <c r="AB13" s="134">
        <f t="shared" si="10"/>
        <v>3957</v>
      </c>
      <c r="AC13" s="134">
        <f t="shared" si="10"/>
        <v>4461</v>
      </c>
      <c r="AD13" s="134">
        <f t="shared" si="10"/>
        <v>4231</v>
      </c>
      <c r="AE13" s="134">
        <f t="shared" si="10"/>
        <v>0</v>
      </c>
      <c r="AF13" s="134">
        <f t="shared" si="10"/>
        <v>0</v>
      </c>
      <c r="AG13" s="134">
        <f t="shared" si="10"/>
        <v>0</v>
      </c>
      <c r="AH13" s="134">
        <f t="shared" si="10"/>
        <v>0</v>
      </c>
      <c r="AI13" s="134">
        <f t="shared" si="10"/>
        <v>0</v>
      </c>
      <c r="AJ13" s="134">
        <f t="shared" si="10"/>
        <v>0</v>
      </c>
      <c r="AK13" s="134">
        <f>SUM(AK14:AK21)</f>
        <v>508000</v>
      </c>
      <c r="AL13" s="134">
        <f>SUM(AL14:AL21)</f>
        <v>160363</v>
      </c>
      <c r="AM13" s="134">
        <f t="shared" ref="AM13:AZ13" si="11">SUM(AM14:AM21)</f>
        <v>199615.17900707514</v>
      </c>
      <c r="AN13" s="133">
        <f t="shared" si="5"/>
        <v>39.294326576195893</v>
      </c>
      <c r="AO13" s="134">
        <f t="shared" si="11"/>
        <v>22740</v>
      </c>
      <c r="AP13" s="134">
        <f t="shared" si="11"/>
        <v>29902</v>
      </c>
      <c r="AQ13" s="134">
        <f t="shared" si="11"/>
        <v>35320</v>
      </c>
      <c r="AR13" s="134">
        <f t="shared" si="11"/>
        <v>33865</v>
      </c>
      <c r="AS13" s="134">
        <f t="shared" si="11"/>
        <v>33874</v>
      </c>
      <c r="AT13" s="134">
        <f t="shared" si="11"/>
        <v>32586</v>
      </c>
      <c r="AU13" s="134">
        <f t="shared" si="11"/>
        <v>0</v>
      </c>
      <c r="AV13" s="134">
        <f t="shared" si="11"/>
        <v>0</v>
      </c>
      <c r="AW13" s="134">
        <f t="shared" si="11"/>
        <v>0</v>
      </c>
      <c r="AX13" s="134">
        <f t="shared" si="11"/>
        <v>0</v>
      </c>
      <c r="AY13" s="134">
        <f t="shared" si="11"/>
        <v>0</v>
      </c>
      <c r="AZ13" s="134">
        <f t="shared" si="11"/>
        <v>0</v>
      </c>
      <c r="BA13" s="134"/>
      <c r="BB13" s="134">
        <f>SUM(BB14:BB21)</f>
        <v>129399</v>
      </c>
      <c r="BC13" s="294">
        <f t="shared" si="6"/>
        <v>76.858517462580195</v>
      </c>
      <c r="BD13" s="294">
        <f t="shared" si="3"/>
        <v>32.076458572958394</v>
      </c>
      <c r="BE13" s="295">
        <f t="shared" si="7"/>
        <v>5.7339921123764785</v>
      </c>
      <c r="BF13" s="302">
        <f>SUM(BF14:BF21)</f>
        <v>14264</v>
      </c>
      <c r="BG13" s="302">
        <f>SUM(BG14:BG21)</f>
        <v>16140</v>
      </c>
      <c r="BH13" s="295">
        <f t="shared" si="8"/>
        <v>88.376703841387865</v>
      </c>
    </row>
    <row r="14" spans="1:60" s="130" customFormat="1" ht="24.75" customHeight="1" x14ac:dyDescent="0.2">
      <c r="A14" s="136">
        <v>1</v>
      </c>
      <c r="B14" s="137" t="s">
        <v>5</v>
      </c>
      <c r="C14" s="138">
        <v>150</v>
      </c>
      <c r="D14" s="136">
        <v>204</v>
      </c>
      <c r="E14" s="136">
        <v>115000</v>
      </c>
      <c r="F14" s="139">
        <v>33781</v>
      </c>
      <c r="G14" s="136">
        <f>SUM(I14:T14)</f>
        <v>33785</v>
      </c>
      <c r="H14" s="140">
        <f t="shared" si="0"/>
        <v>29.378260869565214</v>
      </c>
      <c r="I14" s="141">
        <v>4037</v>
      </c>
      <c r="J14" s="141">
        <v>5482</v>
      </c>
      <c r="K14" s="141">
        <v>6024</v>
      </c>
      <c r="L14" s="141">
        <v>5491</v>
      </c>
      <c r="M14" s="141">
        <v>5713</v>
      </c>
      <c r="N14" s="142">
        <v>7038</v>
      </c>
      <c r="O14" s="143"/>
      <c r="P14" s="143"/>
      <c r="Q14" s="143"/>
      <c r="R14" s="143"/>
      <c r="S14" s="143"/>
      <c r="T14" s="143"/>
      <c r="U14" s="136">
        <v>7500</v>
      </c>
      <c r="V14" s="139">
        <v>1895</v>
      </c>
      <c r="W14" s="136">
        <f>SUM(Y14:AJ14)</f>
        <v>2530</v>
      </c>
      <c r="X14" s="140">
        <f t="shared" si="2"/>
        <v>33.733333333333334</v>
      </c>
      <c r="Y14" s="141">
        <v>297</v>
      </c>
      <c r="Z14" s="141">
        <v>397</v>
      </c>
      <c r="AA14" s="141">
        <v>417</v>
      </c>
      <c r="AB14" s="141">
        <v>489</v>
      </c>
      <c r="AC14" s="141">
        <v>463</v>
      </c>
      <c r="AD14" s="142">
        <v>467</v>
      </c>
      <c r="AE14" s="143"/>
      <c r="AF14" s="143"/>
      <c r="AG14" s="143"/>
      <c r="AH14" s="143"/>
      <c r="AI14" s="143"/>
      <c r="AJ14" s="143"/>
      <c r="AK14" s="136">
        <v>70000</v>
      </c>
      <c r="AL14" s="139">
        <v>24529</v>
      </c>
      <c r="AM14" s="136">
        <f>SUM(AO14:AZ14)</f>
        <v>26214</v>
      </c>
      <c r="AN14" s="140">
        <f t="shared" si="5"/>
        <v>37.448571428571427</v>
      </c>
      <c r="AO14" s="141">
        <v>3065</v>
      </c>
      <c r="AP14" s="141">
        <v>4308</v>
      </c>
      <c r="AQ14" s="141">
        <v>4898</v>
      </c>
      <c r="AR14" s="141">
        <v>4550</v>
      </c>
      <c r="AS14" s="141">
        <v>4347</v>
      </c>
      <c r="AT14" s="141">
        <v>5046</v>
      </c>
      <c r="AU14" s="143"/>
      <c r="AV14" s="143"/>
      <c r="AW14" s="143"/>
      <c r="AX14" s="143"/>
      <c r="AY14" s="143"/>
      <c r="AZ14" s="143"/>
      <c r="BA14" s="139">
        <v>10975</v>
      </c>
      <c r="BB14" s="139">
        <v>17693</v>
      </c>
      <c r="BC14" s="294">
        <f t="shared" si="6"/>
        <v>64.45537340619309</v>
      </c>
      <c r="BD14" s="299">
        <f>BB14/(D14*182)*100</f>
        <v>47.654061624649856</v>
      </c>
      <c r="BE14" s="299">
        <f>BB14/W14</f>
        <v>6.993280632411067</v>
      </c>
      <c r="BF14" s="300">
        <f>925+58</f>
        <v>983</v>
      </c>
      <c r="BG14" s="300">
        <v>1234</v>
      </c>
      <c r="BH14" s="301">
        <f t="shared" si="8"/>
        <v>79.659643435980556</v>
      </c>
    </row>
    <row r="15" spans="1:60" s="130" customFormat="1" ht="24.75" customHeight="1" x14ac:dyDescent="0.2">
      <c r="A15" s="136">
        <v>2</v>
      </c>
      <c r="B15" s="137" t="s">
        <v>6</v>
      </c>
      <c r="C15" s="138">
        <v>140</v>
      </c>
      <c r="D15" s="136">
        <v>229</v>
      </c>
      <c r="E15" s="136">
        <v>215000</v>
      </c>
      <c r="F15" s="139">
        <v>77172</v>
      </c>
      <c r="G15" s="136">
        <f>I15+J15+K15+L15+M15+N15+P15</f>
        <v>84053</v>
      </c>
      <c r="H15" s="140">
        <f>G15/E15*100</f>
        <v>39.094418604651167</v>
      </c>
      <c r="I15" s="141">
        <v>9670</v>
      </c>
      <c r="J15" s="141">
        <v>13634</v>
      </c>
      <c r="K15" s="141">
        <v>14221</v>
      </c>
      <c r="L15" s="141">
        <v>15682</v>
      </c>
      <c r="M15" s="141">
        <v>15288</v>
      </c>
      <c r="N15" s="142">
        <v>15558</v>
      </c>
      <c r="O15" s="143"/>
      <c r="P15" s="143"/>
      <c r="Q15" s="143"/>
      <c r="R15" s="143"/>
      <c r="S15" s="143"/>
      <c r="T15" s="143"/>
      <c r="U15" s="136">
        <v>8000</v>
      </c>
      <c r="V15" s="139">
        <v>3058</v>
      </c>
      <c r="W15" s="136">
        <f>Y15+Z15+AA15+AB15+AC15+AD15</f>
        <v>3809</v>
      </c>
      <c r="X15" s="140">
        <f>W15/U15*100</f>
        <v>47.612500000000004</v>
      </c>
      <c r="Y15" s="141">
        <v>439</v>
      </c>
      <c r="Z15" s="141">
        <v>523</v>
      </c>
      <c r="AA15" s="141">
        <v>623</v>
      </c>
      <c r="AB15" s="141">
        <v>635</v>
      </c>
      <c r="AC15" s="141">
        <v>921</v>
      </c>
      <c r="AD15" s="142">
        <v>668</v>
      </c>
      <c r="AE15" s="143"/>
      <c r="AF15" s="143"/>
      <c r="AG15" s="143"/>
      <c r="AH15" s="143"/>
      <c r="AI15" s="143"/>
      <c r="AJ15" s="143"/>
      <c r="AK15" s="136">
        <v>95000</v>
      </c>
      <c r="AL15" s="139">
        <v>31695</v>
      </c>
      <c r="AM15" s="136">
        <f>AO15+AP15+AQ15+AR15+AS15+AT15</f>
        <v>32501</v>
      </c>
      <c r="AN15" s="140">
        <f>AM15/AK15*100</f>
        <v>34.211578947368423</v>
      </c>
      <c r="AO15" s="141">
        <v>3889</v>
      </c>
      <c r="AP15" s="141">
        <v>5649</v>
      </c>
      <c r="AQ15" s="141">
        <v>6746</v>
      </c>
      <c r="AR15" s="141">
        <v>5603</v>
      </c>
      <c r="AS15" s="141">
        <v>6008</v>
      </c>
      <c r="AT15" s="141">
        <v>4606</v>
      </c>
      <c r="AU15" s="143"/>
      <c r="AV15" s="143"/>
      <c r="AW15" s="143"/>
      <c r="AX15" s="143"/>
      <c r="AY15" s="143"/>
      <c r="AZ15" s="143"/>
      <c r="BA15" s="139">
        <v>18359</v>
      </c>
      <c r="BB15" s="139">
        <v>21939</v>
      </c>
      <c r="BC15" s="294">
        <f t="shared" si="6"/>
        <v>85.632318501170957</v>
      </c>
      <c r="BD15" s="299">
        <f t="shared" ref="BD15:BD18" si="12">BB15/(D15*182)*100</f>
        <v>52.639282115264649</v>
      </c>
      <c r="BE15" s="299">
        <f t="shared" ref="BE15:BE18" si="13">BB15/W15</f>
        <v>5.7597794696770803</v>
      </c>
      <c r="BF15" s="300">
        <v>1400</v>
      </c>
      <c r="BG15" s="300">
        <v>1860</v>
      </c>
      <c r="BH15" s="301">
        <f>BF15/BG15*100</f>
        <v>75.268817204301072</v>
      </c>
    </row>
    <row r="16" spans="1:60" s="130" customFormat="1" ht="24.75" customHeight="1" x14ac:dyDescent="0.2">
      <c r="A16" s="136">
        <v>3</v>
      </c>
      <c r="B16" s="137" t="s">
        <v>7</v>
      </c>
      <c r="C16" s="138">
        <v>130</v>
      </c>
      <c r="D16" s="136">
        <v>190</v>
      </c>
      <c r="E16" s="136">
        <v>212000</v>
      </c>
      <c r="F16" s="139">
        <v>53043</v>
      </c>
      <c r="G16" s="136">
        <f>SUM(I16:T16)</f>
        <v>72933</v>
      </c>
      <c r="H16" s="140">
        <f t="shared" ref="H16:H21" si="14">G16/E16*100</f>
        <v>34.402358490566037</v>
      </c>
      <c r="I16" s="141">
        <v>6056</v>
      </c>
      <c r="J16" s="141">
        <v>11389</v>
      </c>
      <c r="K16" s="141">
        <v>13664</v>
      </c>
      <c r="L16" s="141">
        <v>12837</v>
      </c>
      <c r="M16" s="141">
        <v>13494</v>
      </c>
      <c r="N16" s="142">
        <v>15493</v>
      </c>
      <c r="O16" s="143"/>
      <c r="P16" s="143"/>
      <c r="Q16" s="143"/>
      <c r="R16" s="143"/>
      <c r="S16" s="143"/>
      <c r="T16" s="143"/>
      <c r="U16" s="136">
        <v>7500</v>
      </c>
      <c r="V16" s="139">
        <v>2414</v>
      </c>
      <c r="W16" s="136">
        <f>SUM(Y16:AJ16)</f>
        <v>2542</v>
      </c>
      <c r="X16" s="140">
        <f t="shared" ref="X16:X21" si="15">W16/U16*100</f>
        <v>33.893333333333331</v>
      </c>
      <c r="Y16" s="141">
        <v>296</v>
      </c>
      <c r="Z16" s="141">
        <v>324</v>
      </c>
      <c r="AA16" s="141">
        <v>478</v>
      </c>
      <c r="AB16" s="141">
        <v>428</v>
      </c>
      <c r="AC16" s="141">
        <v>513</v>
      </c>
      <c r="AD16" s="142">
        <v>503</v>
      </c>
      <c r="AE16" s="143"/>
      <c r="AF16" s="143"/>
      <c r="AG16" s="143"/>
      <c r="AH16" s="143"/>
      <c r="AI16" s="143"/>
      <c r="AJ16" s="143"/>
      <c r="AK16" s="136">
        <v>80000</v>
      </c>
      <c r="AL16" s="139">
        <v>17234</v>
      </c>
      <c r="AM16" s="136">
        <f>SUM(AO16:AZ16)</f>
        <v>19571</v>
      </c>
      <c r="AN16" s="140">
        <f>AM16/AK16*100</f>
        <v>24.463750000000001</v>
      </c>
      <c r="AO16" s="141">
        <v>2191</v>
      </c>
      <c r="AP16" s="141">
        <v>3318</v>
      </c>
      <c r="AQ16" s="141">
        <v>3557</v>
      </c>
      <c r="AR16" s="141">
        <v>3666</v>
      </c>
      <c r="AS16" s="141">
        <v>3455</v>
      </c>
      <c r="AT16" s="141">
        <v>3384</v>
      </c>
      <c r="AU16" s="143"/>
      <c r="AV16" s="143"/>
      <c r="AW16" s="143"/>
      <c r="AX16" s="143"/>
      <c r="AY16" s="143"/>
      <c r="AZ16" s="143"/>
      <c r="BA16" s="143">
        <v>12425</v>
      </c>
      <c r="BB16" s="143">
        <v>11775</v>
      </c>
      <c r="BC16" s="294">
        <f t="shared" si="6"/>
        <v>49.495586380832286</v>
      </c>
      <c r="BD16" s="299">
        <f t="shared" si="12"/>
        <v>34.051474840948529</v>
      </c>
      <c r="BE16" s="299">
        <f t="shared" si="13"/>
        <v>4.6321793863099918</v>
      </c>
      <c r="BF16" s="300">
        <v>1624</v>
      </c>
      <c r="BG16" s="300">
        <v>1900</v>
      </c>
      <c r="BH16" s="301">
        <f t="shared" si="8"/>
        <v>85.473684210526315</v>
      </c>
    </row>
    <row r="17" spans="1:60" s="130" customFormat="1" ht="24.75" customHeight="1" x14ac:dyDescent="0.2">
      <c r="A17" s="136">
        <v>4</v>
      </c>
      <c r="B17" s="137" t="s">
        <v>8</v>
      </c>
      <c r="C17" s="138">
        <v>110</v>
      </c>
      <c r="D17" s="136">
        <v>125</v>
      </c>
      <c r="E17" s="136">
        <v>147000</v>
      </c>
      <c r="F17" s="139">
        <v>68134</v>
      </c>
      <c r="G17" s="136">
        <f>SUM(I17:T17)</f>
        <v>76572</v>
      </c>
      <c r="H17" s="140">
        <f t="shared" si="14"/>
        <v>52.089795918367344</v>
      </c>
      <c r="I17" s="141">
        <v>9305</v>
      </c>
      <c r="J17" s="141">
        <v>12477</v>
      </c>
      <c r="K17" s="141">
        <v>14262</v>
      </c>
      <c r="L17" s="141">
        <v>13378</v>
      </c>
      <c r="M17" s="141">
        <v>13824</v>
      </c>
      <c r="N17" s="142">
        <v>13326</v>
      </c>
      <c r="O17" s="143"/>
      <c r="P17" s="143"/>
      <c r="Q17" s="143"/>
      <c r="R17" s="143"/>
      <c r="S17" s="143"/>
      <c r="T17" s="143"/>
      <c r="U17" s="136">
        <v>6400</v>
      </c>
      <c r="V17" s="139">
        <v>2351</v>
      </c>
      <c r="W17" s="136">
        <f>SUM(Y17:AJ17)</f>
        <v>3177</v>
      </c>
      <c r="X17" s="140">
        <f t="shared" si="15"/>
        <v>49.640625</v>
      </c>
      <c r="Y17" s="141">
        <v>390</v>
      </c>
      <c r="Z17" s="141">
        <v>495</v>
      </c>
      <c r="AA17" s="141">
        <v>513</v>
      </c>
      <c r="AB17" s="141">
        <v>605</v>
      </c>
      <c r="AC17" s="141">
        <v>588</v>
      </c>
      <c r="AD17" s="142">
        <v>586</v>
      </c>
      <c r="AE17" s="143"/>
      <c r="AF17" s="143"/>
      <c r="AG17" s="143"/>
      <c r="AH17" s="143"/>
      <c r="AI17" s="143"/>
      <c r="AJ17" s="143"/>
      <c r="AK17" s="136">
        <v>66000</v>
      </c>
      <c r="AL17" s="139">
        <v>27413</v>
      </c>
      <c r="AM17" s="136">
        <f>SUM(AO17:AZ17)</f>
        <v>29128</v>
      </c>
      <c r="AN17" s="140">
        <f t="shared" ref="AN17:AN20" si="16">AM17/AK17*100</f>
        <v>44.133333333333333</v>
      </c>
      <c r="AO17" s="141">
        <v>3340</v>
      </c>
      <c r="AP17" s="141">
        <v>4538</v>
      </c>
      <c r="AQ17" s="141">
        <v>5579</v>
      </c>
      <c r="AR17" s="141">
        <v>5038</v>
      </c>
      <c r="AS17" s="141">
        <v>5600</v>
      </c>
      <c r="AT17" s="141">
        <v>5033</v>
      </c>
      <c r="AU17" s="143"/>
      <c r="AV17" s="143"/>
      <c r="AW17" s="143"/>
      <c r="AX17" s="143"/>
      <c r="AY17" s="143"/>
      <c r="AZ17" s="143"/>
      <c r="BA17" s="139">
        <v>15862</v>
      </c>
      <c r="BB17" s="139">
        <v>20715</v>
      </c>
      <c r="BC17" s="294">
        <f t="shared" si="6"/>
        <v>102.90611028315946</v>
      </c>
      <c r="BD17" s="299">
        <f t="shared" si="12"/>
        <v>91.054945054945051</v>
      </c>
      <c r="BE17" s="299">
        <f t="shared" si="13"/>
        <v>6.5203021718602452</v>
      </c>
      <c r="BF17" s="300">
        <v>2362</v>
      </c>
      <c r="BG17" s="300">
        <v>2433</v>
      </c>
      <c r="BH17" s="301">
        <f>BF17/BG17*100</f>
        <v>97.081792026304967</v>
      </c>
    </row>
    <row r="18" spans="1:60" s="130" customFormat="1" ht="24.75" customHeight="1" x14ac:dyDescent="0.2">
      <c r="A18" s="136">
        <v>5</v>
      </c>
      <c r="B18" s="137" t="s">
        <v>9</v>
      </c>
      <c r="C18" s="138">
        <v>190</v>
      </c>
      <c r="D18" s="136">
        <v>289</v>
      </c>
      <c r="E18" s="136">
        <v>175000</v>
      </c>
      <c r="F18" s="139">
        <v>42709</v>
      </c>
      <c r="G18" s="136">
        <f>SUM(I18:T18)</f>
        <v>85063</v>
      </c>
      <c r="H18" s="140">
        <f t="shared" si="14"/>
        <v>48.607428571428571</v>
      </c>
      <c r="I18" s="141">
        <v>6863</v>
      </c>
      <c r="J18" s="141">
        <v>13013</v>
      </c>
      <c r="K18" s="141">
        <v>16297</v>
      </c>
      <c r="L18" s="141">
        <v>15799</v>
      </c>
      <c r="M18" s="141">
        <v>17195</v>
      </c>
      <c r="N18" s="142">
        <v>15896</v>
      </c>
      <c r="O18" s="143"/>
      <c r="P18" s="143"/>
      <c r="Q18" s="143"/>
      <c r="R18" s="143"/>
      <c r="S18" s="143"/>
      <c r="T18" s="143"/>
      <c r="U18" s="136">
        <v>11000</v>
      </c>
      <c r="V18" s="139">
        <v>4522</v>
      </c>
      <c r="W18" s="136">
        <f>SUM(Y18:AJ18)</f>
        <v>6530</v>
      </c>
      <c r="X18" s="140">
        <f t="shared" si="15"/>
        <v>59.36363636363636</v>
      </c>
      <c r="Y18" s="141">
        <v>777</v>
      </c>
      <c r="Z18" s="141">
        <v>983</v>
      </c>
      <c r="AA18" s="141">
        <v>1205</v>
      </c>
      <c r="AB18" s="141">
        <v>1037</v>
      </c>
      <c r="AC18" s="141">
        <v>1222</v>
      </c>
      <c r="AD18" s="142">
        <v>1306</v>
      </c>
      <c r="AE18" s="143"/>
      <c r="AF18" s="143"/>
      <c r="AG18" s="143"/>
      <c r="AH18" s="143"/>
      <c r="AI18" s="143"/>
      <c r="AJ18" s="143"/>
      <c r="AK18" s="136">
        <v>85000</v>
      </c>
      <c r="AL18" s="139">
        <v>18435</v>
      </c>
      <c r="AM18" s="136">
        <f>SUM(AO18:AZ18)</f>
        <v>35409</v>
      </c>
      <c r="AN18" s="140">
        <f t="shared" si="16"/>
        <v>41.657647058823528</v>
      </c>
      <c r="AO18" s="141">
        <v>4049</v>
      </c>
      <c r="AP18" s="141">
        <v>5758</v>
      </c>
      <c r="AQ18" s="141">
        <v>6251</v>
      </c>
      <c r="AR18" s="141">
        <v>5928</v>
      </c>
      <c r="AS18" s="141">
        <v>6553</v>
      </c>
      <c r="AT18" s="141">
        <v>6870</v>
      </c>
      <c r="AU18" s="143"/>
      <c r="AV18" s="143"/>
      <c r="AW18" s="143"/>
      <c r="AX18" s="143"/>
      <c r="AY18" s="143"/>
      <c r="AZ18" s="143"/>
      <c r="BA18" s="139">
        <v>25093</v>
      </c>
      <c r="BB18" s="139">
        <v>36302</v>
      </c>
      <c r="BC18" s="294">
        <f t="shared" si="6"/>
        <v>104.4060972102387</v>
      </c>
      <c r="BD18" s="299">
        <f t="shared" si="12"/>
        <v>69.01783337769497</v>
      </c>
      <c r="BE18" s="299">
        <f t="shared" si="13"/>
        <v>5.5592649310872897</v>
      </c>
      <c r="BF18" s="300">
        <v>3719</v>
      </c>
      <c r="BG18" s="300">
        <v>4106</v>
      </c>
      <c r="BH18" s="301">
        <f>BF18/BG18*100</f>
        <v>90.574768631271311</v>
      </c>
    </row>
    <row r="19" spans="1:60" s="130" customFormat="1" ht="24.75" customHeight="1" x14ac:dyDescent="0.2">
      <c r="A19" s="136">
        <v>6</v>
      </c>
      <c r="B19" s="137" t="s">
        <v>10</v>
      </c>
      <c r="C19" s="138">
        <v>120</v>
      </c>
      <c r="D19" s="136">
        <v>180</v>
      </c>
      <c r="E19" s="136">
        <v>130000</v>
      </c>
      <c r="F19" s="139">
        <v>46357</v>
      </c>
      <c r="G19" s="136">
        <f>SUM(I19:T19)</f>
        <v>54736</v>
      </c>
      <c r="H19" s="140">
        <f t="shared" si="14"/>
        <v>42.104615384615386</v>
      </c>
      <c r="I19" s="141">
        <v>4701</v>
      </c>
      <c r="J19" s="141">
        <v>8175</v>
      </c>
      <c r="K19" s="141">
        <v>12375</v>
      </c>
      <c r="L19" s="141">
        <v>9461</v>
      </c>
      <c r="M19" s="141">
        <v>10230</v>
      </c>
      <c r="N19" s="142">
        <v>9794</v>
      </c>
      <c r="O19" s="143"/>
      <c r="P19" s="143"/>
      <c r="Q19" s="143"/>
      <c r="R19" s="143"/>
      <c r="S19" s="143"/>
      <c r="T19" s="143"/>
      <c r="U19" s="136">
        <v>6400</v>
      </c>
      <c r="V19" s="139">
        <v>3125</v>
      </c>
      <c r="W19" s="136">
        <f>SUM(Y19:AJ19)</f>
        <v>2848</v>
      </c>
      <c r="X19" s="140">
        <f t="shared" si="15"/>
        <v>44.5</v>
      </c>
      <c r="Y19" s="141">
        <v>402</v>
      </c>
      <c r="Z19" s="141">
        <v>390</v>
      </c>
      <c r="AA19" s="141">
        <v>456</v>
      </c>
      <c r="AB19" s="141">
        <v>518</v>
      </c>
      <c r="AC19" s="141">
        <v>568</v>
      </c>
      <c r="AD19" s="142">
        <v>514</v>
      </c>
      <c r="AE19" s="143"/>
      <c r="AF19" s="143"/>
      <c r="AG19" s="143"/>
      <c r="AH19" s="143"/>
      <c r="AI19" s="143"/>
      <c r="AJ19" s="143"/>
      <c r="AK19" s="136">
        <v>60000</v>
      </c>
      <c r="AL19" s="139">
        <v>21263</v>
      </c>
      <c r="AM19" s="136">
        <f>SUM(AO19:AZ19)</f>
        <v>21554</v>
      </c>
      <c r="AN19" s="140">
        <f t="shared" si="16"/>
        <v>35.923333333333332</v>
      </c>
      <c r="AO19" s="141">
        <v>2545</v>
      </c>
      <c r="AP19" s="141">
        <v>3268</v>
      </c>
      <c r="AQ19" s="141">
        <v>3983</v>
      </c>
      <c r="AR19" s="141">
        <v>4118</v>
      </c>
      <c r="AS19" s="141">
        <v>3960</v>
      </c>
      <c r="AT19" s="141">
        <v>3680</v>
      </c>
      <c r="AU19" s="143"/>
      <c r="AV19" s="143"/>
      <c r="AW19" s="143"/>
      <c r="AX19" s="143"/>
      <c r="AY19" s="143"/>
      <c r="AZ19" s="143"/>
      <c r="BA19" s="139">
        <v>17664</v>
      </c>
      <c r="BB19" s="139">
        <v>13671</v>
      </c>
      <c r="BC19" s="294">
        <f t="shared" si="6"/>
        <v>62.254098360655739</v>
      </c>
      <c r="BD19" s="299">
        <f t="shared" ref="BD19:BD21" si="17">BB19/(D19*182)*100</f>
        <v>41.730769230769234</v>
      </c>
      <c r="BE19" s="299">
        <f t="shared" ref="BE19:BE21" si="18">BB19/W19</f>
        <v>4.8002106741573032</v>
      </c>
      <c r="BF19" s="300">
        <v>2462</v>
      </c>
      <c r="BG19" s="300">
        <v>2462</v>
      </c>
      <c r="BH19" s="301">
        <f>BF19/BG19*100</f>
        <v>100</v>
      </c>
    </row>
    <row r="20" spans="1:60" s="130" customFormat="1" ht="24.75" customHeight="1" x14ac:dyDescent="0.2">
      <c r="A20" s="136">
        <v>7</v>
      </c>
      <c r="B20" s="137" t="s">
        <v>65</v>
      </c>
      <c r="C20" s="138">
        <v>30</v>
      </c>
      <c r="D20" s="136">
        <v>30</v>
      </c>
      <c r="E20" s="136">
        <v>46000</v>
      </c>
      <c r="F20" s="139">
        <v>27388</v>
      </c>
      <c r="G20" s="136">
        <f>SUM(I20:T20)</f>
        <v>23144</v>
      </c>
      <c r="H20" s="140">
        <f t="shared" si="14"/>
        <v>50.313043478260866</v>
      </c>
      <c r="I20" s="141">
        <v>2823</v>
      </c>
      <c r="J20" s="141">
        <v>3250</v>
      </c>
      <c r="K20" s="141">
        <v>5530</v>
      </c>
      <c r="L20" s="141">
        <v>4432</v>
      </c>
      <c r="M20" s="141">
        <v>3564</v>
      </c>
      <c r="N20" s="142">
        <v>3545</v>
      </c>
      <c r="O20" s="143"/>
      <c r="P20" s="143"/>
      <c r="Q20" s="143"/>
      <c r="R20" s="143"/>
      <c r="S20" s="143"/>
      <c r="T20" s="143"/>
      <c r="U20" s="136">
        <v>1200</v>
      </c>
      <c r="V20" s="139">
        <v>197</v>
      </c>
      <c r="W20" s="136">
        <f>SUM(Y20:AJ20)</f>
        <v>146</v>
      </c>
      <c r="X20" s="140">
        <f t="shared" si="15"/>
        <v>12.166666666666668</v>
      </c>
      <c r="Y20" s="141">
        <v>13</v>
      </c>
      <c r="Z20" s="141">
        <v>13</v>
      </c>
      <c r="AA20" s="141">
        <v>29</v>
      </c>
      <c r="AB20" s="141">
        <v>34</v>
      </c>
      <c r="AC20" s="141">
        <v>25</v>
      </c>
      <c r="AD20" s="142">
        <v>32</v>
      </c>
      <c r="AE20" s="143"/>
      <c r="AF20" s="143"/>
      <c r="AG20" s="143"/>
      <c r="AH20" s="143"/>
      <c r="AI20" s="143"/>
      <c r="AJ20" s="143"/>
      <c r="AK20" s="136">
        <v>17000</v>
      </c>
      <c r="AL20" s="139">
        <v>7498</v>
      </c>
      <c r="AM20" s="136">
        <f>SUM(AO20:AZ20)</f>
        <v>8818</v>
      </c>
      <c r="AN20" s="140">
        <f t="shared" si="16"/>
        <v>51.870588235294115</v>
      </c>
      <c r="AO20" s="141">
        <v>1087</v>
      </c>
      <c r="AP20" s="141">
        <v>1183</v>
      </c>
      <c r="AQ20" s="141">
        <v>1761</v>
      </c>
      <c r="AR20" s="141">
        <v>1953</v>
      </c>
      <c r="AS20" s="141">
        <v>1453</v>
      </c>
      <c r="AT20" s="141">
        <v>1381</v>
      </c>
      <c r="AU20" s="143"/>
      <c r="AV20" s="143"/>
      <c r="AW20" s="143"/>
      <c r="AX20" s="143"/>
      <c r="AY20" s="143"/>
      <c r="AZ20" s="143"/>
      <c r="BA20" s="143">
        <v>1129</v>
      </c>
      <c r="BB20" s="143">
        <f>1022</f>
        <v>1022</v>
      </c>
      <c r="BC20" s="294">
        <f t="shared" si="6"/>
        <v>18.61566484517304</v>
      </c>
      <c r="BD20" s="299">
        <f t="shared" si="17"/>
        <v>18.717948717948719</v>
      </c>
      <c r="BE20" s="299">
        <f t="shared" si="18"/>
        <v>7</v>
      </c>
      <c r="BF20" s="300">
        <v>1336</v>
      </c>
      <c r="BG20" s="300">
        <v>1469</v>
      </c>
      <c r="BH20" s="301">
        <f>BF20/BG20*100</f>
        <v>90.946221919673249</v>
      </c>
    </row>
    <row r="21" spans="1:60" s="130" customFormat="1" ht="24.75" customHeight="1" x14ac:dyDescent="0.2">
      <c r="A21" s="136">
        <v>8</v>
      </c>
      <c r="B21" s="137" t="s">
        <v>15</v>
      </c>
      <c r="C21" s="138">
        <v>50</v>
      </c>
      <c r="D21" s="136">
        <v>80</v>
      </c>
      <c r="E21" s="136">
        <v>56000</v>
      </c>
      <c r="F21" s="139">
        <v>26969</v>
      </c>
      <c r="G21" s="136">
        <f>I21+J21+K21+L21+M21+N21+O21+P21+Q21+R21+S21+T21</f>
        <v>24523</v>
      </c>
      <c r="H21" s="140">
        <f t="shared" si="14"/>
        <v>43.791071428571428</v>
      </c>
      <c r="I21" s="141">
        <v>4217</v>
      </c>
      <c r="J21" s="141">
        <v>2977</v>
      </c>
      <c r="K21" s="141">
        <v>4159</v>
      </c>
      <c r="L21" s="141">
        <v>4838</v>
      </c>
      <c r="M21" s="141">
        <v>4130</v>
      </c>
      <c r="N21" s="142">
        <v>4202</v>
      </c>
      <c r="O21" s="143"/>
      <c r="P21" s="143"/>
      <c r="Q21" s="143"/>
      <c r="R21" s="143"/>
      <c r="S21" s="143"/>
      <c r="T21" s="143"/>
      <c r="U21" s="136">
        <v>2800</v>
      </c>
      <c r="V21" s="139">
        <v>701</v>
      </c>
      <c r="W21" s="136">
        <f>Y21+Z21+AA21+AB21+AC21+AD21+AE21+AF21+AG21+AH21+AI21+AJ21</f>
        <v>985</v>
      </c>
      <c r="X21" s="140">
        <f t="shared" si="15"/>
        <v>35.178571428571431</v>
      </c>
      <c r="Y21" s="141">
        <v>168</v>
      </c>
      <c r="Z21" s="141">
        <v>110</v>
      </c>
      <c r="AA21" s="141">
        <v>180</v>
      </c>
      <c r="AB21" s="141">
        <v>211</v>
      </c>
      <c r="AC21" s="141">
        <v>161</v>
      </c>
      <c r="AD21" s="142">
        <v>155</v>
      </c>
      <c r="AE21" s="143"/>
      <c r="AF21" s="143"/>
      <c r="AG21" s="143"/>
      <c r="AH21" s="143"/>
      <c r="AI21" s="143"/>
      <c r="AJ21" s="143"/>
      <c r="AK21" s="136">
        <v>35000</v>
      </c>
      <c r="AL21" s="139">
        <v>12296</v>
      </c>
      <c r="AM21" s="136">
        <f>SUM(AO21:BF21)</f>
        <v>26420.179007075141</v>
      </c>
      <c r="AN21" s="140">
        <f>AM21/AK21*100</f>
        <v>75.486225734500394</v>
      </c>
      <c r="AO21" s="141">
        <v>2574</v>
      </c>
      <c r="AP21" s="141">
        <v>1880</v>
      </c>
      <c r="AQ21" s="141">
        <v>2545</v>
      </c>
      <c r="AR21" s="141">
        <v>3009</v>
      </c>
      <c r="AS21" s="141">
        <v>2498</v>
      </c>
      <c r="AT21" s="141">
        <v>2586</v>
      </c>
      <c r="AU21" s="143"/>
      <c r="AV21" s="143"/>
      <c r="AW21" s="143"/>
      <c r="AX21" s="143"/>
      <c r="AY21" s="143"/>
      <c r="AZ21" s="143"/>
      <c r="BA21" s="143">
        <v>4550</v>
      </c>
      <c r="BB21" s="143">
        <v>6282</v>
      </c>
      <c r="BC21" s="294">
        <f t="shared" si="6"/>
        <v>68.655737704918025</v>
      </c>
      <c r="BD21" s="299">
        <f t="shared" si="17"/>
        <v>43.145604395604394</v>
      </c>
      <c r="BE21" s="299">
        <f t="shared" si="18"/>
        <v>6.3776649746192895</v>
      </c>
      <c r="BF21" s="300">
        <v>378</v>
      </c>
      <c r="BG21" s="300">
        <v>676</v>
      </c>
      <c r="BH21" s="301">
        <f>BF21/BG21*100</f>
        <v>55.917159763313606</v>
      </c>
    </row>
    <row r="22" spans="1:60" ht="27" customHeight="1" x14ac:dyDescent="0.25">
      <c r="C22" s="105"/>
      <c r="D22" s="105"/>
      <c r="E22" s="105"/>
      <c r="F22" s="104"/>
      <c r="H22" s="118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Z22" s="118"/>
    </row>
    <row r="23" spans="1:60" ht="27" customHeight="1" x14ac:dyDescent="0.25">
      <c r="D23" s="105"/>
      <c r="E23" s="105"/>
      <c r="F23" s="104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</row>
    <row r="24" spans="1:60" ht="27" customHeight="1" x14ac:dyDescent="0.25">
      <c r="E24" s="106"/>
      <c r="F24" s="104"/>
      <c r="G24" s="105"/>
      <c r="H24" s="106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Z24" s="118"/>
      <c r="BA24" s="118"/>
    </row>
    <row r="25" spans="1:60" ht="27" customHeight="1" x14ac:dyDescent="0.25">
      <c r="F25" s="104"/>
    </row>
    <row r="26" spans="1:60" ht="27" customHeight="1" x14ac:dyDescent="0.25"/>
    <row r="27" spans="1:60" ht="27" customHeight="1" x14ac:dyDescent="0.25">
      <c r="N27" s="118"/>
    </row>
    <row r="28" spans="1:60" ht="27" customHeight="1" x14ac:dyDescent="0.25"/>
    <row r="48" spans="5:5" x14ac:dyDescent="0.25">
      <c r="E48" s="115"/>
    </row>
    <row r="49" spans="5:5" x14ac:dyDescent="0.25">
      <c r="E49" s="116"/>
    </row>
    <row r="50" spans="5:5" x14ac:dyDescent="0.25">
      <c r="E50" s="115"/>
    </row>
    <row r="51" spans="5:5" x14ac:dyDescent="0.25">
      <c r="E51" s="107"/>
    </row>
    <row r="52" spans="5:5" x14ac:dyDescent="0.25">
      <c r="E52" s="107"/>
    </row>
  </sheetData>
  <mergeCells count="37">
    <mergeCell ref="U24:AJ24"/>
    <mergeCell ref="U23:AJ23"/>
    <mergeCell ref="U22:AJ22"/>
    <mergeCell ref="A1:BB1"/>
    <mergeCell ref="A2:BB2"/>
    <mergeCell ref="A3:A6"/>
    <mergeCell ref="B3:B6"/>
    <mergeCell ref="C3:D4"/>
    <mergeCell ref="AL5:AL6"/>
    <mergeCell ref="BB3:BB6"/>
    <mergeCell ref="E3:AZ3"/>
    <mergeCell ref="C5:C6"/>
    <mergeCell ref="D5:D6"/>
    <mergeCell ref="V5:V6"/>
    <mergeCell ref="F5:F6"/>
    <mergeCell ref="W5:W6"/>
    <mergeCell ref="E5:E6"/>
    <mergeCell ref="I5:T5"/>
    <mergeCell ref="Y5:AJ5"/>
    <mergeCell ref="E4:T4"/>
    <mergeCell ref="G5:G6"/>
    <mergeCell ref="AK4:AZ4"/>
    <mergeCell ref="AN5:AN6"/>
    <mergeCell ref="H5:H6"/>
    <mergeCell ref="AM5:AM6"/>
    <mergeCell ref="BH3:BH6"/>
    <mergeCell ref="AO5:AZ5"/>
    <mergeCell ref="BE3:BE6"/>
    <mergeCell ref="BA3:BA6"/>
    <mergeCell ref="BG3:BG6"/>
    <mergeCell ref="BF3:BF6"/>
    <mergeCell ref="BC3:BC6"/>
    <mergeCell ref="AK5:AK6"/>
    <mergeCell ref="BD3:BD6"/>
    <mergeCell ref="U4:AJ4"/>
    <mergeCell ref="X5:X6"/>
    <mergeCell ref="U5:U6"/>
  </mergeCells>
  <pageMargins left="0.2" right="0.2" top="0.4" bottom="0.25" header="0.2" footer="0.2"/>
  <pageSetup orientation="landscape" r:id="rId1"/>
  <ignoredErrors>
    <ignoredError sqref="AN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D7" sqref="BD7"/>
    </sheetView>
  </sheetViews>
  <sheetFormatPr defaultRowHeight="15" x14ac:dyDescent="0.25"/>
  <cols>
    <col min="1" max="1" width="4" style="103" customWidth="1"/>
    <col min="2" max="2" width="19.5703125" style="103" customWidth="1"/>
    <col min="3" max="4" width="10.85546875" style="103" customWidth="1"/>
    <col min="5" max="5" width="11" style="103" customWidth="1"/>
    <col min="6" max="6" width="8.5703125" style="103" customWidth="1"/>
    <col min="7" max="18" width="10.28515625" style="103" hidden="1" customWidth="1"/>
    <col min="19" max="19" width="5.7109375" style="113" hidden="1" customWidth="1"/>
    <col min="20" max="20" width="9.85546875" style="103" customWidth="1"/>
    <col min="21" max="21" width="10.42578125" style="103" customWidth="1"/>
    <col min="22" max="23" width="9.28515625" style="103" customWidth="1"/>
    <col min="24" max="35" width="10.28515625" style="103" hidden="1" customWidth="1"/>
    <col min="36" max="36" width="5.7109375" style="113" hidden="1" customWidth="1"/>
    <col min="37" max="37" width="10.42578125" style="103" customWidth="1"/>
    <col min="38" max="40" width="10.7109375" style="103" customWidth="1"/>
    <col min="41" max="52" width="10.28515625" style="103" hidden="1" customWidth="1"/>
    <col min="53" max="54" width="9.28515625" style="114" hidden="1" customWidth="1"/>
    <col min="55" max="55" width="9.7109375" style="103" customWidth="1"/>
    <col min="56" max="56" width="13" style="103" customWidth="1"/>
    <col min="57" max="16384" width="9.140625" style="103"/>
  </cols>
  <sheetData>
    <row r="1" spans="1:56" x14ac:dyDescent="0.25">
      <c r="A1" s="365" t="s">
        <v>70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103"/>
    </row>
    <row r="2" spans="1:56" ht="18.75" customHeight="1" x14ac:dyDescent="0.2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103"/>
    </row>
    <row r="3" spans="1:56" s="101" customFormat="1" ht="23.25" customHeight="1" x14ac:dyDescent="0.2">
      <c r="A3" s="373" t="s">
        <v>32</v>
      </c>
      <c r="B3" s="373" t="s">
        <v>33</v>
      </c>
      <c r="C3" s="373" t="s">
        <v>44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4" t="s">
        <v>38</v>
      </c>
      <c r="BB3" s="375"/>
    </row>
    <row r="4" spans="1:56" s="101" customFormat="1" ht="23.25" customHeight="1" x14ac:dyDescent="0.2">
      <c r="A4" s="373"/>
      <c r="B4" s="373"/>
      <c r="C4" s="370" t="s">
        <v>45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 t="s">
        <v>46</v>
      </c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 t="s">
        <v>47</v>
      </c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6"/>
      <c r="BB4" s="377"/>
    </row>
    <row r="5" spans="1:56" s="101" customFormat="1" ht="23.25" customHeight="1" x14ac:dyDescent="0.2">
      <c r="A5" s="373"/>
      <c r="B5" s="373"/>
      <c r="C5" s="370" t="s">
        <v>13</v>
      </c>
      <c r="D5" s="370" t="s">
        <v>40</v>
      </c>
      <c r="E5" s="370" t="s">
        <v>30</v>
      </c>
      <c r="F5" s="370" t="s">
        <v>69</v>
      </c>
      <c r="G5" s="370" t="s">
        <v>31</v>
      </c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1" t="s">
        <v>14</v>
      </c>
      <c r="T5" s="370" t="s">
        <v>13</v>
      </c>
      <c r="U5" s="370" t="s">
        <v>40</v>
      </c>
      <c r="V5" s="370" t="s">
        <v>30</v>
      </c>
      <c r="W5" s="370" t="s">
        <v>69</v>
      </c>
      <c r="X5" s="370" t="s">
        <v>31</v>
      </c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1" t="s">
        <v>14</v>
      </c>
      <c r="AK5" s="370" t="s">
        <v>13</v>
      </c>
      <c r="AL5" s="370" t="s">
        <v>40</v>
      </c>
      <c r="AM5" s="370" t="s">
        <v>30</v>
      </c>
      <c r="AN5" s="370" t="s">
        <v>69</v>
      </c>
      <c r="AO5" s="370" t="s">
        <v>31</v>
      </c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6"/>
      <c r="BB5" s="377"/>
    </row>
    <row r="6" spans="1:56" s="101" customFormat="1" ht="23.25" customHeight="1" x14ac:dyDescent="0.2">
      <c r="A6" s="373"/>
      <c r="B6" s="373"/>
      <c r="C6" s="370"/>
      <c r="D6" s="370"/>
      <c r="E6" s="370"/>
      <c r="F6" s="370"/>
      <c r="G6" s="127" t="s">
        <v>18</v>
      </c>
      <c r="H6" s="127" t="s">
        <v>19</v>
      </c>
      <c r="I6" s="127" t="s">
        <v>20</v>
      </c>
      <c r="J6" s="127" t="s">
        <v>21</v>
      </c>
      <c r="K6" s="127" t="s">
        <v>22</v>
      </c>
      <c r="L6" s="127" t="s">
        <v>23</v>
      </c>
      <c r="M6" s="127" t="s">
        <v>24</v>
      </c>
      <c r="N6" s="127" t="s">
        <v>25</v>
      </c>
      <c r="O6" s="127" t="s">
        <v>26</v>
      </c>
      <c r="P6" s="127" t="s">
        <v>27</v>
      </c>
      <c r="Q6" s="127" t="s">
        <v>28</v>
      </c>
      <c r="R6" s="127" t="s">
        <v>29</v>
      </c>
      <c r="S6" s="371"/>
      <c r="T6" s="370"/>
      <c r="U6" s="370"/>
      <c r="V6" s="370"/>
      <c r="W6" s="370"/>
      <c r="X6" s="127" t="s">
        <v>18</v>
      </c>
      <c r="Y6" s="127" t="s">
        <v>19</v>
      </c>
      <c r="Z6" s="127" t="s">
        <v>20</v>
      </c>
      <c r="AA6" s="127" t="s">
        <v>21</v>
      </c>
      <c r="AB6" s="127" t="s">
        <v>22</v>
      </c>
      <c r="AC6" s="127" t="s">
        <v>23</v>
      </c>
      <c r="AD6" s="127" t="s">
        <v>24</v>
      </c>
      <c r="AE6" s="127" t="s">
        <v>25</v>
      </c>
      <c r="AF6" s="127" t="s">
        <v>26</v>
      </c>
      <c r="AG6" s="127" t="s">
        <v>27</v>
      </c>
      <c r="AH6" s="127" t="s">
        <v>28</v>
      </c>
      <c r="AI6" s="127" t="s">
        <v>29</v>
      </c>
      <c r="AJ6" s="371"/>
      <c r="AK6" s="370"/>
      <c r="AL6" s="370"/>
      <c r="AM6" s="370"/>
      <c r="AN6" s="370"/>
      <c r="AO6" s="127" t="s">
        <v>18</v>
      </c>
      <c r="AP6" s="127" t="s">
        <v>19</v>
      </c>
      <c r="AQ6" s="127" t="s">
        <v>20</v>
      </c>
      <c r="AR6" s="127" t="s">
        <v>21</v>
      </c>
      <c r="AS6" s="127" t="s">
        <v>22</v>
      </c>
      <c r="AT6" s="127" t="s">
        <v>23</v>
      </c>
      <c r="AU6" s="127" t="s">
        <v>24</v>
      </c>
      <c r="AV6" s="127" t="s">
        <v>25</v>
      </c>
      <c r="AW6" s="127" t="s">
        <v>26</v>
      </c>
      <c r="AX6" s="127" t="s">
        <v>27</v>
      </c>
      <c r="AY6" s="127" t="s">
        <v>28</v>
      </c>
      <c r="AZ6" s="127" t="s">
        <v>29</v>
      </c>
      <c r="BA6" s="117" t="s">
        <v>13</v>
      </c>
      <c r="BB6" s="117" t="s">
        <v>16</v>
      </c>
    </row>
    <row r="7" spans="1:56" s="102" customFormat="1" ht="25.5" customHeight="1" x14ac:dyDescent="0.35">
      <c r="A7" s="126"/>
      <c r="B7" s="126" t="s">
        <v>17</v>
      </c>
      <c r="C7" s="126">
        <f>C8+C13</f>
        <v>503400</v>
      </c>
      <c r="D7" s="126">
        <f t="shared" ref="D7:AM7" si="0">D8+D13</f>
        <v>150490</v>
      </c>
      <c r="E7" s="126">
        <f t="shared" si="0"/>
        <v>216188</v>
      </c>
      <c r="F7" s="126">
        <f>E7/C7%</f>
        <v>42.945570123162497</v>
      </c>
      <c r="G7" s="126">
        <f t="shared" si="0"/>
        <v>25838</v>
      </c>
      <c r="H7" s="126">
        <f t="shared" si="0"/>
        <v>33599</v>
      </c>
      <c r="I7" s="126">
        <f t="shared" si="0"/>
        <v>38943</v>
      </c>
      <c r="J7" s="126">
        <f t="shared" si="0"/>
        <v>39170</v>
      </c>
      <c r="K7" s="126">
        <f t="shared" si="0"/>
        <v>40342</v>
      </c>
      <c r="L7" s="126">
        <f t="shared" si="0"/>
        <v>38296</v>
      </c>
      <c r="M7" s="126">
        <f t="shared" si="0"/>
        <v>0</v>
      </c>
      <c r="N7" s="126">
        <f t="shared" si="0"/>
        <v>0</v>
      </c>
      <c r="O7" s="126">
        <f t="shared" si="0"/>
        <v>0</v>
      </c>
      <c r="P7" s="126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48800</v>
      </c>
      <c r="U7" s="126">
        <f t="shared" si="0"/>
        <v>18121</v>
      </c>
      <c r="V7" s="126">
        <f t="shared" si="0"/>
        <v>26288</v>
      </c>
      <c r="W7" s="126">
        <f>V7/T7%</f>
        <v>53.868852459016395</v>
      </c>
      <c r="X7" s="126">
        <f t="shared" si="0"/>
        <v>2999</v>
      </c>
      <c r="Y7" s="126">
        <f t="shared" si="0"/>
        <v>3379</v>
      </c>
      <c r="Z7" s="126">
        <f t="shared" si="0"/>
        <v>3763</v>
      </c>
      <c r="AA7" s="126">
        <f t="shared" si="0"/>
        <v>3979</v>
      </c>
      <c r="AB7" s="126">
        <f t="shared" si="0"/>
        <v>4155</v>
      </c>
      <c r="AC7" s="126">
        <f t="shared" si="0"/>
        <v>4424</v>
      </c>
      <c r="AD7" s="126">
        <f t="shared" si="0"/>
        <v>897</v>
      </c>
      <c r="AE7" s="126">
        <f t="shared" si="0"/>
        <v>658</v>
      </c>
      <c r="AF7" s="126">
        <f t="shared" si="0"/>
        <v>674</v>
      </c>
      <c r="AG7" s="126">
        <f t="shared" si="0"/>
        <v>706</v>
      </c>
      <c r="AH7" s="126">
        <f t="shared" si="0"/>
        <v>654</v>
      </c>
      <c r="AI7" s="126">
        <f t="shared" si="0"/>
        <v>0</v>
      </c>
      <c r="AJ7" s="126">
        <f t="shared" si="0"/>
        <v>0</v>
      </c>
      <c r="AK7" s="126">
        <f t="shared" si="0"/>
        <v>301000</v>
      </c>
      <c r="AL7" s="126">
        <f t="shared" si="0"/>
        <v>86911</v>
      </c>
      <c r="AM7" s="126">
        <f t="shared" si="0"/>
        <v>105445</v>
      </c>
      <c r="AN7" s="126">
        <f>AM7/AK7%</f>
        <v>35.03156146179402</v>
      </c>
      <c r="AO7" s="126">
        <f t="shared" ref="AO7:AZ7" si="1">AO8+AO13</f>
        <v>15554</v>
      </c>
      <c r="AP7" s="126">
        <f t="shared" si="1"/>
        <v>16666</v>
      </c>
      <c r="AQ7" s="126">
        <f t="shared" si="1"/>
        <v>18803</v>
      </c>
      <c r="AR7" s="126">
        <f t="shared" si="1"/>
        <v>19937</v>
      </c>
      <c r="AS7" s="126">
        <f t="shared" si="1"/>
        <v>20558</v>
      </c>
      <c r="AT7" s="126">
        <f t="shared" si="1"/>
        <v>19233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6">
        <f t="shared" si="1"/>
        <v>0</v>
      </c>
      <c r="AY7" s="126">
        <f t="shared" si="1"/>
        <v>0</v>
      </c>
      <c r="AZ7" s="126">
        <f t="shared" si="1"/>
        <v>0</v>
      </c>
      <c r="BA7" s="108" t="e">
        <f>+#REF!/(#REF!*182.5)%</f>
        <v>#REF!</v>
      </c>
      <c r="BB7" s="109" t="e">
        <f>+#REF!/(#REF!*182.5)%</f>
        <v>#REF!</v>
      </c>
      <c r="BC7" s="110"/>
      <c r="BD7" s="110"/>
    </row>
    <row r="8" spans="1:56" s="100" customFormat="1" ht="25.5" customHeight="1" x14ac:dyDescent="0.4">
      <c r="A8" s="122" t="s">
        <v>11</v>
      </c>
      <c r="B8" s="123" t="s">
        <v>0</v>
      </c>
      <c r="C8" s="122">
        <f>C9+C10+C11+C12</f>
        <v>63100</v>
      </c>
      <c r="D8" s="122">
        <f t="shared" ref="D8:AT8" si="2">D9+D10+D11+D12</f>
        <v>22174</v>
      </c>
      <c r="E8" s="122">
        <f t="shared" si="2"/>
        <v>30130</v>
      </c>
      <c r="F8" s="122">
        <f t="shared" si="2"/>
        <v>156.07191919191919</v>
      </c>
      <c r="G8" s="122">
        <f t="shared" si="2"/>
        <v>4650</v>
      </c>
      <c r="H8" s="122">
        <f t="shared" si="2"/>
        <v>4426</v>
      </c>
      <c r="I8" s="122">
        <f t="shared" si="2"/>
        <v>4622</v>
      </c>
      <c r="J8" s="122">
        <f t="shared" si="2"/>
        <v>5348</v>
      </c>
      <c r="K8" s="122">
        <f t="shared" si="2"/>
        <v>5280</v>
      </c>
      <c r="L8" s="122">
        <f t="shared" si="2"/>
        <v>5804</v>
      </c>
      <c r="M8" s="122">
        <f t="shared" si="2"/>
        <v>0</v>
      </c>
      <c r="N8" s="122">
        <f t="shared" si="2"/>
        <v>0</v>
      </c>
      <c r="O8" s="122">
        <f t="shared" si="2"/>
        <v>0</v>
      </c>
      <c r="P8" s="122">
        <f t="shared" si="2"/>
        <v>0</v>
      </c>
      <c r="Q8" s="122">
        <f t="shared" si="2"/>
        <v>0</v>
      </c>
      <c r="R8" s="122">
        <f t="shared" si="2"/>
        <v>0</v>
      </c>
      <c r="S8" s="122">
        <f t="shared" si="2"/>
        <v>0</v>
      </c>
      <c r="T8" s="122">
        <f t="shared" si="2"/>
        <v>22500</v>
      </c>
      <c r="U8" s="122">
        <f t="shared" si="2"/>
        <v>11884</v>
      </c>
      <c r="V8" s="122">
        <f t="shared" si="2"/>
        <v>15519</v>
      </c>
      <c r="W8" s="122" t="e">
        <f t="shared" si="2"/>
        <v>#DIV/0!</v>
      </c>
      <c r="X8" s="122">
        <f t="shared" si="2"/>
        <v>1663</v>
      </c>
      <c r="Y8" s="122">
        <f t="shared" si="2"/>
        <v>1848</v>
      </c>
      <c r="Z8" s="122">
        <f t="shared" si="2"/>
        <v>1921</v>
      </c>
      <c r="AA8" s="122">
        <f t="shared" si="2"/>
        <v>2130</v>
      </c>
      <c r="AB8" s="122">
        <f t="shared" si="2"/>
        <v>2064</v>
      </c>
      <c r="AC8" s="122">
        <f t="shared" si="2"/>
        <v>2304</v>
      </c>
      <c r="AD8" s="122">
        <f t="shared" si="2"/>
        <v>897</v>
      </c>
      <c r="AE8" s="122">
        <f t="shared" si="2"/>
        <v>658</v>
      </c>
      <c r="AF8" s="122">
        <f t="shared" si="2"/>
        <v>674</v>
      </c>
      <c r="AG8" s="122">
        <f t="shared" si="2"/>
        <v>706</v>
      </c>
      <c r="AH8" s="122">
        <f t="shared" si="2"/>
        <v>654</v>
      </c>
      <c r="AI8" s="122">
        <f t="shared" si="2"/>
        <v>0</v>
      </c>
      <c r="AJ8" s="122">
        <f t="shared" si="2"/>
        <v>0</v>
      </c>
      <c r="AK8" s="122">
        <f t="shared" si="2"/>
        <v>36800</v>
      </c>
      <c r="AL8" s="122">
        <f t="shared" si="2"/>
        <v>10185</v>
      </c>
      <c r="AM8" s="122">
        <f t="shared" si="2"/>
        <v>19748</v>
      </c>
      <c r="AN8" s="122">
        <f t="shared" si="2"/>
        <v>174.85246212121211</v>
      </c>
      <c r="AO8" s="122">
        <f t="shared" si="2"/>
        <v>2901</v>
      </c>
      <c r="AP8" s="122">
        <f t="shared" si="2"/>
        <v>2492</v>
      </c>
      <c r="AQ8" s="122">
        <f t="shared" si="2"/>
        <v>2621</v>
      </c>
      <c r="AR8" s="122">
        <f t="shared" si="2"/>
        <v>3124</v>
      </c>
      <c r="AS8" s="122">
        <f t="shared" si="2"/>
        <v>3143</v>
      </c>
      <c r="AT8" s="122">
        <f t="shared" si="2"/>
        <v>3446</v>
      </c>
      <c r="AU8" s="122"/>
      <c r="AV8" s="122"/>
      <c r="AW8" s="122"/>
      <c r="AX8" s="122"/>
      <c r="AY8" s="122"/>
      <c r="AZ8" s="122"/>
      <c r="BA8" s="108" t="e">
        <f>+#REF!/(#REF!*182.5)%</f>
        <v>#REF!</v>
      </c>
      <c r="BB8" s="109" t="e">
        <f>+#REF!/(#REF!*182.5)%</f>
        <v>#REF!</v>
      </c>
      <c r="BD8" s="111"/>
    </row>
    <row r="9" spans="1:56" s="125" customFormat="1" ht="25.5" customHeight="1" x14ac:dyDescent="0.25">
      <c r="A9" s="153">
        <v>1</v>
      </c>
      <c r="B9" s="154" t="s">
        <v>1</v>
      </c>
      <c r="C9" s="153">
        <v>55000</v>
      </c>
      <c r="D9" s="161">
        <v>19706</v>
      </c>
      <c r="E9" s="153">
        <f>SUM(G9:R9)</f>
        <v>27289</v>
      </c>
      <c r="F9" s="153">
        <f t="shared" ref="F9:F14" si="3">E9/C9%</f>
        <v>49.616363636363637</v>
      </c>
      <c r="G9" s="156">
        <f>83+4261</f>
        <v>4344</v>
      </c>
      <c r="H9" s="156">
        <f>76+3881</f>
        <v>3957</v>
      </c>
      <c r="I9" s="156">
        <f>77+4012</f>
        <v>4089</v>
      </c>
      <c r="J9" s="156">
        <f>89+4727</f>
        <v>4816</v>
      </c>
      <c r="K9" s="156">
        <v>4751</v>
      </c>
      <c r="L9" s="156">
        <v>5332</v>
      </c>
      <c r="M9" s="157"/>
      <c r="N9" s="157"/>
      <c r="O9" s="157"/>
      <c r="P9" s="157"/>
      <c r="Q9" s="157"/>
      <c r="R9" s="157"/>
      <c r="S9" s="158"/>
      <c r="T9" s="153">
        <v>20000</v>
      </c>
      <c r="U9" s="155">
        <v>11326</v>
      </c>
      <c r="V9" s="153">
        <f>SUM(X9:AI9)</f>
        <v>14468</v>
      </c>
      <c r="W9" s="153">
        <f t="shared" ref="W9:W14" si="4">V9/T9%</f>
        <v>72.34</v>
      </c>
      <c r="X9" s="156">
        <v>1562</v>
      </c>
      <c r="Y9" s="156">
        <v>1656</v>
      </c>
      <c r="Z9" s="156">
        <v>1706</v>
      </c>
      <c r="AA9" s="156">
        <v>1930</v>
      </c>
      <c r="AB9" s="156">
        <v>1874</v>
      </c>
      <c r="AC9" s="156">
        <v>2151</v>
      </c>
      <c r="AD9" s="157">
        <v>897</v>
      </c>
      <c r="AE9" s="157">
        <v>658</v>
      </c>
      <c r="AF9" s="157">
        <v>674</v>
      </c>
      <c r="AG9" s="157">
        <v>706</v>
      </c>
      <c r="AH9" s="157">
        <v>654</v>
      </c>
      <c r="AI9" s="157"/>
      <c r="AJ9" s="158"/>
      <c r="AK9" s="153">
        <v>33000</v>
      </c>
      <c r="AL9" s="155">
        <v>8380</v>
      </c>
      <c r="AM9" s="153">
        <f>SUM(AO9:AZ9)</f>
        <v>17959</v>
      </c>
      <c r="AN9" s="153">
        <f t="shared" ref="AN9:AN14" si="5">AM9/AK9%</f>
        <v>54.421212121212122</v>
      </c>
      <c r="AO9" s="156">
        <v>2699</v>
      </c>
      <c r="AP9" s="156">
        <v>2225</v>
      </c>
      <c r="AQ9" s="156">
        <v>2306</v>
      </c>
      <c r="AR9" s="156">
        <v>2797</v>
      </c>
      <c r="AS9" s="156">
        <v>2810</v>
      </c>
      <c r="AT9" s="156">
        <v>3101</v>
      </c>
      <c r="AU9" s="157">
        <v>520</v>
      </c>
      <c r="AV9" s="157">
        <v>383</v>
      </c>
      <c r="AW9" s="157">
        <v>366</v>
      </c>
      <c r="AX9" s="157">
        <v>405</v>
      </c>
      <c r="AY9" s="157">
        <v>347</v>
      </c>
      <c r="AZ9" s="157"/>
      <c r="BA9" s="162" t="e">
        <f>+#REF!/(#REF!*182.5)%</f>
        <v>#REF!</v>
      </c>
      <c r="BB9" s="163" t="e">
        <f>+#REF!/(#REF!*182.5)%</f>
        <v>#REF!</v>
      </c>
    </row>
    <row r="10" spans="1:56" s="125" customFormat="1" ht="25.5" customHeight="1" x14ac:dyDescent="0.25">
      <c r="A10" s="153">
        <v>2</v>
      </c>
      <c r="B10" s="154" t="s">
        <v>64</v>
      </c>
      <c r="C10" s="153">
        <v>3000</v>
      </c>
      <c r="D10" s="161">
        <v>375</v>
      </c>
      <c r="E10" s="153">
        <f>SUM(G10:R10)</f>
        <v>736</v>
      </c>
      <c r="F10" s="153">
        <f t="shared" si="3"/>
        <v>24.533333333333335</v>
      </c>
      <c r="G10" s="156">
        <v>91</v>
      </c>
      <c r="H10" s="156">
        <v>136</v>
      </c>
      <c r="I10" s="156">
        <v>138</v>
      </c>
      <c r="J10" s="156">
        <v>131</v>
      </c>
      <c r="K10" s="156">
        <v>134</v>
      </c>
      <c r="L10" s="156">
        <v>106</v>
      </c>
      <c r="M10" s="157"/>
      <c r="N10" s="157"/>
      <c r="O10" s="157"/>
      <c r="P10" s="157"/>
      <c r="Q10" s="157"/>
      <c r="R10" s="157"/>
      <c r="S10" s="158"/>
      <c r="T10" s="153">
        <v>1500</v>
      </c>
      <c r="U10" s="155">
        <v>233</v>
      </c>
      <c r="V10" s="153">
        <f>SUM(X10:AI10)</f>
        <v>460</v>
      </c>
      <c r="W10" s="153">
        <f t="shared" si="4"/>
        <v>30.666666666666668</v>
      </c>
      <c r="X10" s="156">
        <v>56</v>
      </c>
      <c r="Y10" s="156">
        <v>89</v>
      </c>
      <c r="Z10" s="156">
        <v>80</v>
      </c>
      <c r="AA10" s="156">
        <v>83</v>
      </c>
      <c r="AB10" s="156">
        <v>84</v>
      </c>
      <c r="AC10" s="156">
        <v>68</v>
      </c>
      <c r="AD10" s="157"/>
      <c r="AE10" s="157"/>
      <c r="AF10" s="157"/>
      <c r="AG10" s="157"/>
      <c r="AH10" s="157"/>
      <c r="AI10" s="157"/>
      <c r="AJ10" s="158"/>
      <c r="AK10" s="153">
        <v>500</v>
      </c>
      <c r="AL10" s="155">
        <v>140</v>
      </c>
      <c r="AM10" s="153">
        <f>SUM(AO10:AZ10)</f>
        <v>302</v>
      </c>
      <c r="AN10" s="153">
        <f t="shared" si="5"/>
        <v>60.4</v>
      </c>
      <c r="AO10" s="156">
        <v>35</v>
      </c>
      <c r="AP10" s="156">
        <v>46</v>
      </c>
      <c r="AQ10" s="156">
        <v>58</v>
      </c>
      <c r="AR10" s="156">
        <v>47</v>
      </c>
      <c r="AS10" s="156">
        <v>48</v>
      </c>
      <c r="AT10" s="156">
        <v>68</v>
      </c>
      <c r="AU10" s="157"/>
      <c r="AV10" s="157"/>
      <c r="AW10" s="157"/>
      <c r="AX10" s="157"/>
      <c r="AY10" s="157"/>
      <c r="AZ10" s="157"/>
      <c r="BA10" s="162" t="e">
        <f>+#REF!/(#REF!*182.5)%</f>
        <v>#REF!</v>
      </c>
      <c r="BB10" s="163" t="e">
        <f>+#REF!/(#REF!*182.5)%</f>
        <v>#REF!</v>
      </c>
    </row>
    <row r="11" spans="1:56" s="125" customFormat="1" ht="25.5" customHeight="1" x14ac:dyDescent="0.25">
      <c r="A11" s="153">
        <v>3</v>
      </c>
      <c r="B11" s="154" t="s">
        <v>3</v>
      </c>
      <c r="C11" s="153">
        <v>1500</v>
      </c>
      <c r="D11" s="161">
        <v>350</v>
      </c>
      <c r="E11" s="153">
        <f>SUM(G11:R11)</f>
        <v>603</v>
      </c>
      <c r="F11" s="153">
        <f>E11/C11*100</f>
        <v>40.200000000000003</v>
      </c>
      <c r="G11" s="156">
        <v>45</v>
      </c>
      <c r="H11" s="156">
        <v>106</v>
      </c>
      <c r="I11" s="156">
        <v>142</v>
      </c>
      <c r="J11" s="156">
        <v>119</v>
      </c>
      <c r="K11" s="156">
        <v>106</v>
      </c>
      <c r="L11" s="156">
        <v>85</v>
      </c>
      <c r="M11" s="157"/>
      <c r="N11" s="157"/>
      <c r="O11" s="157"/>
      <c r="P11" s="157"/>
      <c r="Q11" s="157"/>
      <c r="R11" s="157"/>
      <c r="S11" s="158"/>
      <c r="T11" s="153">
        <v>1000</v>
      </c>
      <c r="U11" s="155">
        <v>325</v>
      </c>
      <c r="V11" s="153">
        <f>SUM(X11:AI11)</f>
        <v>591</v>
      </c>
      <c r="W11" s="153">
        <f>V11/T11*100</f>
        <v>59.099999999999994</v>
      </c>
      <c r="X11" s="156">
        <v>45</v>
      </c>
      <c r="Y11" s="156">
        <v>103</v>
      </c>
      <c r="Z11" s="156">
        <v>135</v>
      </c>
      <c r="AA11" s="156">
        <v>117</v>
      </c>
      <c r="AB11" s="156">
        <v>106</v>
      </c>
      <c r="AC11" s="156">
        <v>85</v>
      </c>
      <c r="AD11" s="157"/>
      <c r="AE11" s="157"/>
      <c r="AF11" s="157"/>
      <c r="AG11" s="157"/>
      <c r="AH11" s="157"/>
      <c r="AI11" s="157"/>
      <c r="AJ11" s="158"/>
      <c r="AK11" s="153">
        <v>100</v>
      </c>
      <c r="AL11" s="155">
        <v>14</v>
      </c>
      <c r="AM11" s="153">
        <f>SUM(AO11:AZ11)</f>
        <v>14</v>
      </c>
      <c r="AN11" s="153">
        <f>AM11/AK11*100</f>
        <v>14.000000000000002</v>
      </c>
      <c r="AO11" s="156">
        <v>0</v>
      </c>
      <c r="AP11" s="156">
        <v>3</v>
      </c>
      <c r="AQ11" s="156">
        <v>7</v>
      </c>
      <c r="AR11" s="156">
        <v>2</v>
      </c>
      <c r="AS11" s="156">
        <v>1</v>
      </c>
      <c r="AT11" s="156">
        <v>1</v>
      </c>
      <c r="AU11" s="157"/>
      <c r="AV11" s="157"/>
      <c r="AW11" s="157"/>
      <c r="AX11" s="157"/>
      <c r="AY11" s="157"/>
      <c r="AZ11" s="157"/>
      <c r="BA11" s="162" t="e">
        <f>+#REF!/(#REF!*182.5)%</f>
        <v>#REF!</v>
      </c>
      <c r="BB11" s="163" t="e">
        <f>+#REF!/(#REF!*182.5)%</f>
        <v>#REF!</v>
      </c>
    </row>
    <row r="12" spans="1:56" s="125" customFormat="1" ht="25.5" customHeight="1" x14ac:dyDescent="0.25">
      <c r="A12" s="153">
        <v>4</v>
      </c>
      <c r="B12" s="154" t="s">
        <v>66</v>
      </c>
      <c r="C12" s="153">
        <v>3600</v>
      </c>
      <c r="D12" s="161">
        <v>1743</v>
      </c>
      <c r="E12" s="153">
        <f>SUM(G12:R12)</f>
        <v>1502</v>
      </c>
      <c r="F12" s="153">
        <f t="shared" si="3"/>
        <v>41.722222222222221</v>
      </c>
      <c r="G12" s="156">
        <v>170</v>
      </c>
      <c r="H12" s="156">
        <v>227</v>
      </c>
      <c r="I12" s="156">
        <v>253</v>
      </c>
      <c r="J12" s="156">
        <v>282</v>
      </c>
      <c r="K12" s="156">
        <v>289</v>
      </c>
      <c r="L12" s="156">
        <v>281</v>
      </c>
      <c r="M12" s="157"/>
      <c r="N12" s="157"/>
      <c r="O12" s="157"/>
      <c r="P12" s="157"/>
      <c r="Q12" s="157"/>
      <c r="R12" s="157"/>
      <c r="S12" s="158"/>
      <c r="T12" s="153"/>
      <c r="U12" s="155"/>
      <c r="V12" s="153">
        <f>SUM(X12:AI12)</f>
        <v>0</v>
      </c>
      <c r="W12" s="153" t="e">
        <f t="shared" si="4"/>
        <v>#DIV/0!</v>
      </c>
      <c r="X12" s="156"/>
      <c r="Y12" s="156"/>
      <c r="Z12" s="156"/>
      <c r="AA12" s="156"/>
      <c r="AB12" s="156"/>
      <c r="AC12" s="156"/>
      <c r="AD12" s="157"/>
      <c r="AE12" s="157"/>
      <c r="AF12" s="157"/>
      <c r="AG12" s="157"/>
      <c r="AH12" s="157"/>
      <c r="AI12" s="157"/>
      <c r="AJ12" s="158"/>
      <c r="AK12" s="153">
        <v>3200</v>
      </c>
      <c r="AL12" s="155">
        <v>1651</v>
      </c>
      <c r="AM12" s="153">
        <f>SUM(AO12:AZ12)</f>
        <v>1473</v>
      </c>
      <c r="AN12" s="153">
        <f t="shared" si="5"/>
        <v>46.03125</v>
      </c>
      <c r="AO12" s="156">
        <v>167</v>
      </c>
      <c r="AP12" s="156">
        <v>218</v>
      </c>
      <c r="AQ12" s="156">
        <v>250</v>
      </c>
      <c r="AR12" s="156">
        <v>278</v>
      </c>
      <c r="AS12" s="156">
        <v>284</v>
      </c>
      <c r="AT12" s="156">
        <v>276</v>
      </c>
      <c r="AU12" s="157"/>
      <c r="AV12" s="157"/>
      <c r="AW12" s="157"/>
      <c r="AX12" s="157"/>
      <c r="AY12" s="157"/>
      <c r="AZ12" s="157"/>
      <c r="BA12" s="162" t="e">
        <f>+#REF!/(#REF!*182.5)%</f>
        <v>#REF!</v>
      </c>
      <c r="BB12" s="163" t="e">
        <f>+#REF!/(#REF!*182.5)%</f>
        <v>#REF!</v>
      </c>
    </row>
    <row r="13" spans="1:56" s="124" customFormat="1" ht="25.5" customHeight="1" x14ac:dyDescent="0.4">
      <c r="A13" s="122" t="s">
        <v>12</v>
      </c>
      <c r="B13" s="123" t="s">
        <v>4</v>
      </c>
      <c r="C13" s="122">
        <f>SUM(C14:C21)</f>
        <v>440300</v>
      </c>
      <c r="D13" s="122">
        <f t="shared" ref="D13:AZ13" si="6">SUM(D14:D21)</f>
        <v>128316</v>
      </c>
      <c r="E13" s="122">
        <f t="shared" si="6"/>
        <v>186058</v>
      </c>
      <c r="F13" s="126">
        <f t="shared" si="3"/>
        <v>42.257097433568021</v>
      </c>
      <c r="G13" s="122">
        <f t="shared" si="6"/>
        <v>21188</v>
      </c>
      <c r="H13" s="122">
        <f t="shared" si="6"/>
        <v>29173</v>
      </c>
      <c r="I13" s="122">
        <f t="shared" si="6"/>
        <v>34321</v>
      </c>
      <c r="J13" s="122">
        <f t="shared" si="6"/>
        <v>33822</v>
      </c>
      <c r="K13" s="122">
        <f t="shared" si="6"/>
        <v>35062</v>
      </c>
      <c r="L13" s="122">
        <f t="shared" si="6"/>
        <v>32492</v>
      </c>
      <c r="M13" s="122">
        <f t="shared" si="6"/>
        <v>0</v>
      </c>
      <c r="N13" s="122">
        <f t="shared" si="6"/>
        <v>0</v>
      </c>
      <c r="O13" s="122">
        <f t="shared" si="6"/>
        <v>0</v>
      </c>
      <c r="P13" s="122">
        <f t="shared" si="6"/>
        <v>0</v>
      </c>
      <c r="Q13" s="122">
        <f t="shared" si="6"/>
        <v>0</v>
      </c>
      <c r="R13" s="122">
        <f t="shared" si="6"/>
        <v>0</v>
      </c>
      <c r="S13" s="122">
        <f t="shared" si="6"/>
        <v>0</v>
      </c>
      <c r="T13" s="122">
        <f t="shared" si="6"/>
        <v>26300</v>
      </c>
      <c r="U13" s="122">
        <f t="shared" si="6"/>
        <v>6237</v>
      </c>
      <c r="V13" s="122">
        <f t="shared" si="6"/>
        <v>10769</v>
      </c>
      <c r="W13" s="126">
        <f t="shared" si="4"/>
        <v>40.946768060836504</v>
      </c>
      <c r="X13" s="122">
        <f t="shared" si="6"/>
        <v>1336</v>
      </c>
      <c r="Y13" s="122">
        <f t="shared" si="6"/>
        <v>1531</v>
      </c>
      <c r="Z13" s="122">
        <f t="shared" si="6"/>
        <v>1842</v>
      </c>
      <c r="AA13" s="122">
        <f t="shared" si="6"/>
        <v>1849</v>
      </c>
      <c r="AB13" s="122">
        <f t="shared" si="6"/>
        <v>2091</v>
      </c>
      <c r="AC13" s="122">
        <f t="shared" si="6"/>
        <v>2120</v>
      </c>
      <c r="AD13" s="122">
        <f t="shared" si="6"/>
        <v>0</v>
      </c>
      <c r="AE13" s="122">
        <f t="shared" si="6"/>
        <v>0</v>
      </c>
      <c r="AF13" s="122">
        <f t="shared" si="6"/>
        <v>0</v>
      </c>
      <c r="AG13" s="122">
        <f t="shared" si="6"/>
        <v>0</v>
      </c>
      <c r="AH13" s="122">
        <f t="shared" si="6"/>
        <v>0</v>
      </c>
      <c r="AI13" s="122">
        <f t="shared" si="6"/>
        <v>0</v>
      </c>
      <c r="AJ13" s="122">
        <f t="shared" si="6"/>
        <v>0</v>
      </c>
      <c r="AK13" s="122">
        <f t="shared" si="6"/>
        <v>264200</v>
      </c>
      <c r="AL13" s="122">
        <f t="shared" si="6"/>
        <v>76726</v>
      </c>
      <c r="AM13" s="122">
        <f t="shared" si="6"/>
        <v>85697</v>
      </c>
      <c r="AN13" s="126">
        <f t="shared" si="5"/>
        <v>32.43641180923543</v>
      </c>
      <c r="AO13" s="122">
        <f t="shared" si="6"/>
        <v>12653</v>
      </c>
      <c r="AP13" s="122">
        <f t="shared" si="6"/>
        <v>14174</v>
      </c>
      <c r="AQ13" s="122">
        <f t="shared" si="6"/>
        <v>16182</v>
      </c>
      <c r="AR13" s="122">
        <f t="shared" si="6"/>
        <v>16813</v>
      </c>
      <c r="AS13" s="122">
        <f t="shared" si="6"/>
        <v>17415</v>
      </c>
      <c r="AT13" s="122">
        <f t="shared" si="6"/>
        <v>15787</v>
      </c>
      <c r="AU13" s="122">
        <f t="shared" si="6"/>
        <v>0</v>
      </c>
      <c r="AV13" s="122">
        <f t="shared" si="6"/>
        <v>0</v>
      </c>
      <c r="AW13" s="122">
        <f t="shared" si="6"/>
        <v>0</v>
      </c>
      <c r="AX13" s="122">
        <f t="shared" si="6"/>
        <v>0</v>
      </c>
      <c r="AY13" s="122">
        <f t="shared" si="6"/>
        <v>0</v>
      </c>
      <c r="AZ13" s="122">
        <f t="shared" si="6"/>
        <v>0</v>
      </c>
      <c r="BA13" s="119" t="e">
        <f>+#REF!/(#REF!*182.5)%</f>
        <v>#REF!</v>
      </c>
      <c r="BB13" s="120" t="e">
        <f>+#REF!/(#REF!*182.5)%</f>
        <v>#REF!</v>
      </c>
    </row>
    <row r="14" spans="1:56" s="125" customFormat="1" ht="25.5" customHeight="1" x14ac:dyDescent="0.25">
      <c r="A14" s="153">
        <v>1</v>
      </c>
      <c r="B14" s="154" t="s">
        <v>5</v>
      </c>
      <c r="C14" s="153">
        <v>60000</v>
      </c>
      <c r="D14" s="161">
        <v>16161</v>
      </c>
      <c r="E14" s="153">
        <f>SUM(G14:R14)</f>
        <v>17888</v>
      </c>
      <c r="F14" s="153">
        <f t="shared" si="3"/>
        <v>29.813333333333333</v>
      </c>
      <c r="G14" s="156">
        <v>3489</v>
      </c>
      <c r="H14" s="156">
        <v>1921</v>
      </c>
      <c r="I14" s="156">
        <v>3008</v>
      </c>
      <c r="J14" s="156">
        <v>3248</v>
      </c>
      <c r="K14" s="156">
        <v>3196</v>
      </c>
      <c r="L14" s="156">
        <v>3026</v>
      </c>
      <c r="M14" s="157"/>
      <c r="N14" s="157"/>
      <c r="O14" s="157"/>
      <c r="P14" s="157"/>
      <c r="Q14" s="157"/>
      <c r="R14" s="157"/>
      <c r="S14" s="158"/>
      <c r="T14" s="153">
        <v>4000</v>
      </c>
      <c r="U14" s="155">
        <v>986</v>
      </c>
      <c r="V14" s="153">
        <f>SUM(X14:AI14)</f>
        <v>1337</v>
      </c>
      <c r="W14" s="153">
        <f t="shared" si="4"/>
        <v>33.424999999999997</v>
      </c>
      <c r="X14" s="156">
        <v>211</v>
      </c>
      <c r="Y14" s="156">
        <v>176</v>
      </c>
      <c r="Z14" s="156">
        <v>218</v>
      </c>
      <c r="AA14" s="156">
        <v>232</v>
      </c>
      <c r="AB14" s="156">
        <v>254</v>
      </c>
      <c r="AC14" s="156">
        <v>246</v>
      </c>
      <c r="AD14" s="157"/>
      <c r="AE14" s="157"/>
      <c r="AF14" s="157"/>
      <c r="AG14" s="157"/>
      <c r="AH14" s="157"/>
      <c r="AI14" s="157"/>
      <c r="AJ14" s="158"/>
      <c r="AK14" s="153">
        <v>55000</v>
      </c>
      <c r="AL14" s="155">
        <v>14904</v>
      </c>
      <c r="AM14" s="153">
        <f>SUM(AO14:AZ14)</f>
        <v>16551</v>
      </c>
      <c r="AN14" s="153">
        <f t="shared" si="5"/>
        <v>30.092727272727274</v>
      </c>
      <c r="AO14" s="156">
        <v>3278</v>
      </c>
      <c r="AP14" s="156">
        <v>1745</v>
      </c>
      <c r="AQ14" s="156">
        <v>2790</v>
      </c>
      <c r="AR14" s="156">
        <v>3016</v>
      </c>
      <c r="AS14" s="156">
        <v>2942</v>
      </c>
      <c r="AT14" s="156">
        <v>2780</v>
      </c>
      <c r="AU14" s="157"/>
      <c r="AV14" s="157"/>
      <c r="AW14" s="157"/>
      <c r="AX14" s="157"/>
      <c r="AY14" s="157"/>
      <c r="AZ14" s="157"/>
      <c r="BA14" s="162" t="e">
        <f>+#REF!/(#REF!*182.5)%</f>
        <v>#REF!</v>
      </c>
      <c r="BB14" s="163" t="e">
        <f>+#REF!/(#REF!*182.5)%</f>
        <v>#REF!</v>
      </c>
    </row>
    <row r="15" spans="1:56" s="125" customFormat="1" ht="25.5" customHeight="1" x14ac:dyDescent="0.25">
      <c r="A15" s="153">
        <v>2</v>
      </c>
      <c r="B15" s="154" t="s">
        <v>6</v>
      </c>
      <c r="C15" s="153">
        <v>75000</v>
      </c>
      <c r="D15" s="161">
        <v>22279</v>
      </c>
      <c r="E15" s="153">
        <f>G15+H15+I15+J15+K15+L15</f>
        <v>22263</v>
      </c>
      <c r="F15" s="153">
        <f>E15/C15%</f>
        <v>29.684000000000001</v>
      </c>
      <c r="G15" s="156">
        <v>2906</v>
      </c>
      <c r="H15" s="156">
        <v>3887</v>
      </c>
      <c r="I15" s="156">
        <v>3866</v>
      </c>
      <c r="J15" s="156">
        <v>3879</v>
      </c>
      <c r="K15" s="156">
        <v>4383</v>
      </c>
      <c r="L15" s="156">
        <v>3342</v>
      </c>
      <c r="M15" s="157"/>
      <c r="N15" s="157"/>
      <c r="O15" s="157"/>
      <c r="P15" s="157"/>
      <c r="Q15" s="157"/>
      <c r="R15" s="157"/>
      <c r="S15" s="158"/>
      <c r="T15" s="153">
        <v>5000</v>
      </c>
      <c r="U15" s="155">
        <v>1363</v>
      </c>
      <c r="V15" s="153">
        <f>X15+Y15+Z15+AA15+AB15+AC15</f>
        <v>1974</v>
      </c>
      <c r="W15" s="153">
        <f>V15/T15%</f>
        <v>39.479999999999997</v>
      </c>
      <c r="X15" s="156">
        <v>219</v>
      </c>
      <c r="Y15" s="156">
        <v>278</v>
      </c>
      <c r="Z15" s="156">
        <v>321</v>
      </c>
      <c r="AA15" s="156">
        <v>356</v>
      </c>
      <c r="AB15" s="156">
        <v>401</v>
      </c>
      <c r="AC15" s="156">
        <v>399</v>
      </c>
      <c r="AD15" s="157"/>
      <c r="AE15" s="157"/>
      <c r="AF15" s="157"/>
      <c r="AG15" s="157"/>
      <c r="AH15" s="157"/>
      <c r="AI15" s="157"/>
      <c r="AJ15" s="158"/>
      <c r="AK15" s="153">
        <v>68000</v>
      </c>
      <c r="AL15" s="155">
        <v>19874</v>
      </c>
      <c r="AM15" s="153">
        <f>AO15+AP15+AQ15+AR15+AS15+AT15</f>
        <v>19033</v>
      </c>
      <c r="AN15" s="153">
        <f>AM15/AK15%</f>
        <v>27.98970588235294</v>
      </c>
      <c r="AO15" s="156">
        <v>2506</v>
      </c>
      <c r="AP15" s="156">
        <v>3382</v>
      </c>
      <c r="AQ15" s="156">
        <v>3351</v>
      </c>
      <c r="AR15" s="156">
        <v>3288</v>
      </c>
      <c r="AS15" s="156">
        <v>3769</v>
      </c>
      <c r="AT15" s="156">
        <v>2737</v>
      </c>
      <c r="AU15" s="157"/>
      <c r="AV15" s="157"/>
      <c r="AW15" s="157"/>
      <c r="AX15" s="157"/>
      <c r="AY15" s="157"/>
      <c r="AZ15" s="157"/>
      <c r="BA15" s="162" t="e">
        <f>+#REF!/(#REF!*182.5)%</f>
        <v>#REF!</v>
      </c>
      <c r="BB15" s="163" t="e">
        <f>+#REF!/(#REF!*182.5)%</f>
        <v>#REF!</v>
      </c>
    </row>
    <row r="16" spans="1:56" s="125" customFormat="1" ht="25.5" customHeight="1" x14ac:dyDescent="0.25">
      <c r="A16" s="153">
        <v>3</v>
      </c>
      <c r="B16" s="154" t="s">
        <v>7</v>
      </c>
      <c r="C16" s="153">
        <v>90000</v>
      </c>
      <c r="D16" s="161">
        <v>34075</v>
      </c>
      <c r="E16" s="153">
        <f>SUM(G16:R16)</f>
        <v>47932</v>
      </c>
      <c r="F16" s="153">
        <f>E16/C16*100</f>
        <v>53.257777777777783</v>
      </c>
      <c r="G16" s="156">
        <v>3833</v>
      </c>
      <c r="H16" s="156">
        <v>8137</v>
      </c>
      <c r="I16" s="156">
        <v>9490</v>
      </c>
      <c r="J16" s="156">
        <v>9220</v>
      </c>
      <c r="K16" s="156">
        <v>8971</v>
      </c>
      <c r="L16" s="156">
        <v>8281</v>
      </c>
      <c r="M16" s="157"/>
      <c r="N16" s="157"/>
      <c r="O16" s="157"/>
      <c r="P16" s="157"/>
      <c r="Q16" s="157"/>
      <c r="R16" s="157"/>
      <c r="S16" s="158"/>
      <c r="T16" s="153">
        <v>4000</v>
      </c>
      <c r="U16" s="155">
        <v>815</v>
      </c>
      <c r="V16" s="153">
        <f>SUM(X16:AI16)</f>
        <v>1310</v>
      </c>
      <c r="W16" s="153">
        <f>V16/T16*100</f>
        <v>32.75</v>
      </c>
      <c r="X16" s="156">
        <v>122</v>
      </c>
      <c r="Y16" s="156">
        <v>154</v>
      </c>
      <c r="Z16" s="156">
        <v>252</v>
      </c>
      <c r="AA16" s="156">
        <v>238</v>
      </c>
      <c r="AB16" s="156">
        <v>272</v>
      </c>
      <c r="AC16" s="156">
        <v>272</v>
      </c>
      <c r="AD16" s="157"/>
      <c r="AE16" s="157"/>
      <c r="AF16" s="157"/>
      <c r="AG16" s="157"/>
      <c r="AH16" s="157"/>
      <c r="AI16" s="157"/>
      <c r="AJ16" s="158"/>
      <c r="AK16" s="153">
        <v>40000</v>
      </c>
      <c r="AL16" s="155">
        <v>10170</v>
      </c>
      <c r="AM16" s="153">
        <f>SUM(AO16:AZ16)</f>
        <v>11271</v>
      </c>
      <c r="AN16" s="153">
        <f>AM16/AK16*100</f>
        <v>28.177499999999998</v>
      </c>
      <c r="AO16" s="156">
        <v>1260</v>
      </c>
      <c r="AP16" s="156">
        <v>1978</v>
      </c>
      <c r="AQ16" s="156">
        <v>1975</v>
      </c>
      <c r="AR16" s="156">
        <v>2135</v>
      </c>
      <c r="AS16" s="156">
        <v>1947</v>
      </c>
      <c r="AT16" s="156">
        <v>1976</v>
      </c>
      <c r="AU16" s="157"/>
      <c r="AV16" s="157"/>
      <c r="AW16" s="157"/>
      <c r="AX16" s="157"/>
      <c r="AY16" s="157"/>
      <c r="AZ16" s="157"/>
      <c r="BA16" s="162" t="e">
        <f>+#REF!/(#REF!*182.5)%</f>
        <v>#REF!</v>
      </c>
      <c r="BB16" s="163" t="e">
        <f>+#REF!/(#REF!*182.5)%</f>
        <v>#REF!</v>
      </c>
    </row>
    <row r="17" spans="1:54" s="125" customFormat="1" ht="25.5" customHeight="1" x14ac:dyDescent="0.25">
      <c r="A17" s="153">
        <v>4</v>
      </c>
      <c r="B17" s="154" t="s">
        <v>8</v>
      </c>
      <c r="C17" s="153">
        <v>80000</v>
      </c>
      <c r="D17" s="161">
        <v>34810</v>
      </c>
      <c r="E17" s="153">
        <f>SUM(G17:R17)</f>
        <v>41206</v>
      </c>
      <c r="F17" s="153">
        <f>E17/C17%</f>
        <v>51.5075</v>
      </c>
      <c r="G17" s="156">
        <v>4986</v>
      </c>
      <c r="H17" s="156">
        <v>6893</v>
      </c>
      <c r="I17" s="156">
        <v>7320</v>
      </c>
      <c r="J17" s="156">
        <v>7148</v>
      </c>
      <c r="K17" s="156">
        <v>7727</v>
      </c>
      <c r="L17" s="156">
        <v>7132</v>
      </c>
      <c r="M17" s="157"/>
      <c r="N17" s="157"/>
      <c r="O17" s="157"/>
      <c r="P17" s="157"/>
      <c r="Q17" s="157"/>
      <c r="R17" s="157"/>
      <c r="S17" s="158"/>
      <c r="T17" s="153">
        <v>3500</v>
      </c>
      <c r="U17" s="155">
        <v>1013</v>
      </c>
      <c r="V17" s="153">
        <f>SUM(X17:AI17)</f>
        <v>1555</v>
      </c>
      <c r="W17" s="153">
        <f>V17/T17%</f>
        <v>44.428571428571431</v>
      </c>
      <c r="X17" s="156">
        <v>202</v>
      </c>
      <c r="Y17" s="156">
        <v>264</v>
      </c>
      <c r="Z17" s="156">
        <v>250</v>
      </c>
      <c r="AA17" s="156">
        <v>284</v>
      </c>
      <c r="AB17" s="156">
        <v>271</v>
      </c>
      <c r="AC17" s="156">
        <v>284</v>
      </c>
      <c r="AD17" s="157"/>
      <c r="AE17" s="157"/>
      <c r="AF17" s="157"/>
      <c r="AG17" s="157"/>
      <c r="AH17" s="157"/>
      <c r="AI17" s="157"/>
      <c r="AJ17" s="158"/>
      <c r="AK17" s="153">
        <v>40000</v>
      </c>
      <c r="AL17" s="155">
        <v>14621</v>
      </c>
      <c r="AM17" s="153">
        <f>SUM(AO17:AZ17)</f>
        <v>16214</v>
      </c>
      <c r="AN17" s="153">
        <f>AM17/AK17%</f>
        <v>40.534999999999997</v>
      </c>
      <c r="AO17" s="156">
        <v>1734</v>
      </c>
      <c r="AP17" s="156">
        <v>2434</v>
      </c>
      <c r="AQ17" s="156">
        <v>2970</v>
      </c>
      <c r="AR17" s="156">
        <v>2649</v>
      </c>
      <c r="AS17" s="156">
        <v>3429</v>
      </c>
      <c r="AT17" s="156">
        <v>2998</v>
      </c>
      <c r="AU17" s="157"/>
      <c r="AV17" s="157"/>
      <c r="AW17" s="157"/>
      <c r="AX17" s="157"/>
      <c r="AY17" s="157"/>
      <c r="AZ17" s="157"/>
      <c r="BA17" s="162" t="e">
        <f>+#REF!/(#REF!*182.5)%</f>
        <v>#REF!</v>
      </c>
      <c r="BB17" s="163" t="e">
        <f>+#REF!/(#REF!*182.5)%</f>
        <v>#REF!</v>
      </c>
    </row>
    <row r="18" spans="1:54" s="125" customFormat="1" ht="25.5" customHeight="1" x14ac:dyDescent="0.25">
      <c r="A18" s="153">
        <v>5</v>
      </c>
      <c r="B18" s="154" t="s">
        <v>9</v>
      </c>
      <c r="C18" s="153">
        <v>55000</v>
      </c>
      <c r="D18" s="161">
        <v>8305</v>
      </c>
      <c r="E18" s="153">
        <f>SUM(G18:R18)</f>
        <v>13300</v>
      </c>
      <c r="F18" s="153">
        <f>E18/C18*100</f>
        <v>24.181818181818183</v>
      </c>
      <c r="G18" s="156">
        <v>1595</v>
      </c>
      <c r="H18" s="156">
        <v>2257</v>
      </c>
      <c r="I18" s="156">
        <v>2169</v>
      </c>
      <c r="J18" s="156">
        <v>2242</v>
      </c>
      <c r="K18" s="156">
        <v>2821</v>
      </c>
      <c r="L18" s="156">
        <v>2216</v>
      </c>
      <c r="M18" s="157"/>
      <c r="N18" s="157"/>
      <c r="O18" s="157"/>
      <c r="P18" s="157"/>
      <c r="Q18" s="157"/>
      <c r="R18" s="157"/>
      <c r="S18" s="158"/>
      <c r="T18" s="153">
        <v>4000</v>
      </c>
      <c r="U18" s="155">
        <v>1356</v>
      </c>
      <c r="V18" s="153">
        <f>SUM(X18:AI18)</f>
        <v>2359</v>
      </c>
      <c r="W18" s="153">
        <f>V18/T18*100</f>
        <v>58.975000000000001</v>
      </c>
      <c r="X18" s="156">
        <v>242</v>
      </c>
      <c r="Y18" s="156">
        <v>364</v>
      </c>
      <c r="Z18" s="156">
        <v>446</v>
      </c>
      <c r="AA18" s="156">
        <v>353</v>
      </c>
      <c r="AB18" s="156">
        <v>444</v>
      </c>
      <c r="AC18" s="156">
        <v>510</v>
      </c>
      <c r="AD18" s="157"/>
      <c r="AE18" s="157"/>
      <c r="AF18" s="157"/>
      <c r="AG18" s="157"/>
      <c r="AH18" s="157"/>
      <c r="AI18" s="157"/>
      <c r="AJ18" s="158"/>
      <c r="AK18" s="153">
        <v>20000</v>
      </c>
      <c r="AL18" s="155">
        <v>6077</v>
      </c>
      <c r="AM18" s="153">
        <f>SUM(AO18:AZ18)</f>
        <v>9754</v>
      </c>
      <c r="AN18" s="153">
        <f>AM18/AK18%</f>
        <v>48.77</v>
      </c>
      <c r="AO18" s="156">
        <v>1171</v>
      </c>
      <c r="AP18" s="156">
        <v>1801</v>
      </c>
      <c r="AQ18" s="156">
        <v>1660</v>
      </c>
      <c r="AR18" s="156">
        <v>1655</v>
      </c>
      <c r="AS18" s="156">
        <v>1768</v>
      </c>
      <c r="AT18" s="156">
        <v>1699</v>
      </c>
      <c r="AU18" s="157"/>
      <c r="AV18" s="157"/>
      <c r="AW18" s="157"/>
      <c r="AX18" s="157"/>
      <c r="AY18" s="157"/>
      <c r="AZ18" s="157"/>
      <c r="BA18" s="162" t="e">
        <f>+#REF!/(#REF!*182.5)%</f>
        <v>#REF!</v>
      </c>
      <c r="BB18" s="163" t="e">
        <f>+#REF!/(#REF!*182.5)%</f>
        <v>#REF!</v>
      </c>
    </row>
    <row r="19" spans="1:54" s="125" customFormat="1" ht="25.5" customHeight="1" x14ac:dyDescent="0.25">
      <c r="A19" s="153">
        <v>6</v>
      </c>
      <c r="B19" s="154" t="s">
        <v>10</v>
      </c>
      <c r="C19" s="153">
        <v>50000</v>
      </c>
      <c r="D19" s="161">
        <v>3620</v>
      </c>
      <c r="E19" s="153">
        <f>SUM(G19:R19)</f>
        <v>31739</v>
      </c>
      <c r="F19" s="153">
        <f>E19/C19%</f>
        <v>63.478000000000002</v>
      </c>
      <c r="G19" s="156">
        <v>2474</v>
      </c>
      <c r="H19" s="156">
        <v>4568</v>
      </c>
      <c r="I19" s="156">
        <v>6527</v>
      </c>
      <c r="J19" s="156">
        <v>5687</v>
      </c>
      <c r="K19" s="156">
        <v>5990</v>
      </c>
      <c r="L19" s="156">
        <v>6493</v>
      </c>
      <c r="M19" s="157"/>
      <c r="N19" s="157"/>
      <c r="O19" s="157"/>
      <c r="P19" s="157"/>
      <c r="Q19" s="157"/>
      <c r="R19" s="157"/>
      <c r="S19" s="158"/>
      <c r="T19" s="153">
        <v>3500</v>
      </c>
      <c r="U19" s="155">
        <v>315</v>
      </c>
      <c r="V19" s="153">
        <f>SUM(X19:AI19)</f>
        <v>1708</v>
      </c>
      <c r="W19" s="153">
        <f>V19/T19%</f>
        <v>48.8</v>
      </c>
      <c r="X19" s="156">
        <v>251</v>
      </c>
      <c r="Y19" s="156">
        <v>241</v>
      </c>
      <c r="Z19" s="156">
        <v>255</v>
      </c>
      <c r="AA19" s="156">
        <v>270</v>
      </c>
      <c r="AB19" s="156">
        <v>358</v>
      </c>
      <c r="AC19" s="156">
        <v>333</v>
      </c>
      <c r="AD19" s="157"/>
      <c r="AE19" s="157"/>
      <c r="AF19" s="157"/>
      <c r="AG19" s="157"/>
      <c r="AH19" s="157"/>
      <c r="AI19" s="157"/>
      <c r="AJ19" s="158"/>
      <c r="AK19" s="153">
        <v>15000</v>
      </c>
      <c r="AL19" s="155">
        <v>2690</v>
      </c>
      <c r="AM19" s="153">
        <f>SUM(AO19:AZ19)</f>
        <v>9589</v>
      </c>
      <c r="AN19" s="153">
        <f>AM19/AK19%</f>
        <v>63.926666666666669</v>
      </c>
      <c r="AO19" s="156">
        <v>980</v>
      </c>
      <c r="AP19" s="156">
        <v>1486</v>
      </c>
      <c r="AQ19" s="156">
        <v>1690</v>
      </c>
      <c r="AR19" s="156">
        <v>1887</v>
      </c>
      <c r="AS19" s="156">
        <v>1776</v>
      </c>
      <c r="AT19" s="156">
        <v>1770</v>
      </c>
      <c r="AU19" s="157"/>
      <c r="AV19" s="157"/>
      <c r="AW19" s="157"/>
      <c r="AX19" s="157"/>
      <c r="AY19" s="157"/>
      <c r="AZ19" s="157"/>
      <c r="BA19" s="162" t="e">
        <f>+#REF!/(#REF!*182.5)%</f>
        <v>#REF!</v>
      </c>
      <c r="BB19" s="163" t="e">
        <f>+#REF!/(#REF!*182.5)%</f>
        <v>#REF!</v>
      </c>
    </row>
    <row r="20" spans="1:54" s="125" customFormat="1" ht="25.5" customHeight="1" x14ac:dyDescent="0.25">
      <c r="A20" s="153">
        <v>7</v>
      </c>
      <c r="B20" s="154" t="s">
        <v>65</v>
      </c>
      <c r="C20" s="153">
        <v>2300</v>
      </c>
      <c r="D20" s="161">
        <v>544</v>
      </c>
      <c r="E20" s="153">
        <f>SUM(G20:R20)</f>
        <v>883</v>
      </c>
      <c r="F20" s="153">
        <f>E20/C20*100</f>
        <v>38.391304347826086</v>
      </c>
      <c r="G20" s="156">
        <v>126</v>
      </c>
      <c r="H20" s="156">
        <v>147</v>
      </c>
      <c r="I20" s="156">
        <v>155</v>
      </c>
      <c r="J20" s="156">
        <v>153</v>
      </c>
      <c r="K20" s="156">
        <v>157</v>
      </c>
      <c r="L20" s="156">
        <v>145</v>
      </c>
      <c r="M20" s="157"/>
      <c r="N20" s="157"/>
      <c r="O20" s="157"/>
      <c r="P20" s="157"/>
      <c r="Q20" s="157"/>
      <c r="R20" s="157"/>
      <c r="S20" s="158"/>
      <c r="T20" s="153">
        <v>500</v>
      </c>
      <c r="U20" s="155">
        <v>30</v>
      </c>
      <c r="V20" s="153">
        <f>SUM(X20:AI20)</f>
        <v>53</v>
      </c>
      <c r="W20" s="153">
        <f>V20/T20*100</f>
        <v>10.6</v>
      </c>
      <c r="X20" s="156">
        <v>6</v>
      </c>
      <c r="Y20" s="156">
        <v>7</v>
      </c>
      <c r="Z20" s="156">
        <v>8</v>
      </c>
      <c r="AA20" s="156">
        <v>13</v>
      </c>
      <c r="AB20" s="156">
        <v>9</v>
      </c>
      <c r="AC20" s="156">
        <v>10</v>
      </c>
      <c r="AD20" s="157"/>
      <c r="AE20" s="157"/>
      <c r="AF20" s="157"/>
      <c r="AG20" s="157"/>
      <c r="AH20" s="157"/>
      <c r="AI20" s="157"/>
      <c r="AJ20" s="158"/>
      <c r="AK20" s="153">
        <v>1200</v>
      </c>
      <c r="AL20" s="155">
        <v>228</v>
      </c>
      <c r="AM20" s="153">
        <f>SUM(AO20:AZ20)</f>
        <v>288</v>
      </c>
      <c r="AN20" s="153">
        <f>AM20/AK20*100</f>
        <v>24</v>
      </c>
      <c r="AO20" s="156">
        <v>40</v>
      </c>
      <c r="AP20" s="156">
        <v>35</v>
      </c>
      <c r="AQ20" s="156">
        <v>59</v>
      </c>
      <c r="AR20" s="156">
        <v>52</v>
      </c>
      <c r="AS20" s="156">
        <v>54</v>
      </c>
      <c r="AT20" s="156">
        <v>48</v>
      </c>
      <c r="AU20" s="157"/>
      <c r="AV20" s="157"/>
      <c r="AW20" s="157"/>
      <c r="AX20" s="157"/>
      <c r="AY20" s="157"/>
      <c r="AZ20" s="157"/>
      <c r="BA20" s="162" t="e">
        <f>+#REF!/(#REF!*182.5)%</f>
        <v>#REF!</v>
      </c>
      <c r="BB20" s="163" t="e">
        <f>+#REF!/(#REF!*182.5)%</f>
        <v>#REF!</v>
      </c>
    </row>
    <row r="21" spans="1:54" s="125" customFormat="1" ht="25.5" customHeight="1" x14ac:dyDescent="0.25">
      <c r="A21" s="153">
        <v>8</v>
      </c>
      <c r="B21" s="154" t="s">
        <v>15</v>
      </c>
      <c r="C21" s="153">
        <v>28000</v>
      </c>
      <c r="D21" s="153">
        <v>8522</v>
      </c>
      <c r="E21" s="153">
        <f>G21+H21+I21+J21+K21+L21+M21+N21+O21+P21+Q21+R21</f>
        <v>10847</v>
      </c>
      <c r="F21" s="153">
        <f>E21/C21*100</f>
        <v>38.739285714285714</v>
      </c>
      <c r="G21" s="156">
        <v>1779</v>
      </c>
      <c r="H21" s="156">
        <v>1363</v>
      </c>
      <c r="I21" s="156">
        <v>1786</v>
      </c>
      <c r="J21" s="156">
        <v>2245</v>
      </c>
      <c r="K21" s="156">
        <v>1817</v>
      </c>
      <c r="L21" s="156">
        <v>1857</v>
      </c>
      <c r="M21" s="157"/>
      <c r="N21" s="157"/>
      <c r="O21" s="157"/>
      <c r="P21" s="157"/>
      <c r="Q21" s="157"/>
      <c r="R21" s="157"/>
      <c r="S21" s="158"/>
      <c r="T21" s="153">
        <v>1800</v>
      </c>
      <c r="U21" s="157">
        <v>359</v>
      </c>
      <c r="V21" s="153">
        <f>X21+Y21+Z21+AA21+AB21+AC21+AD21+AE21+AF21+AH21+AI21</f>
        <v>473</v>
      </c>
      <c r="W21" s="153">
        <f>V21/T21*100</f>
        <v>26.277777777777779</v>
      </c>
      <c r="X21" s="156">
        <v>83</v>
      </c>
      <c r="Y21" s="156">
        <v>47</v>
      </c>
      <c r="Z21" s="156">
        <v>92</v>
      </c>
      <c r="AA21" s="156">
        <v>103</v>
      </c>
      <c r="AB21" s="156">
        <v>82</v>
      </c>
      <c r="AC21" s="156">
        <v>66</v>
      </c>
      <c r="AD21" s="157"/>
      <c r="AE21" s="157"/>
      <c r="AF21" s="157"/>
      <c r="AG21" s="157"/>
      <c r="AH21" s="157"/>
      <c r="AI21" s="157"/>
      <c r="AJ21" s="158"/>
      <c r="AK21" s="153">
        <v>25000</v>
      </c>
      <c r="AL21" s="155">
        <v>8162</v>
      </c>
      <c r="AM21" s="153">
        <f>AO21+AP21:AP21</f>
        <v>2997</v>
      </c>
      <c r="AN21" s="153">
        <f>AM21/AK21*100</f>
        <v>11.988</v>
      </c>
      <c r="AO21" s="156">
        <v>1684</v>
      </c>
      <c r="AP21" s="156">
        <v>1313</v>
      </c>
      <c r="AQ21" s="156">
        <v>1687</v>
      </c>
      <c r="AR21" s="156">
        <v>2131</v>
      </c>
      <c r="AS21" s="156">
        <v>1730</v>
      </c>
      <c r="AT21" s="156">
        <v>1779</v>
      </c>
      <c r="AU21" s="157"/>
      <c r="AV21" s="157"/>
      <c r="AW21" s="157"/>
      <c r="AX21" s="157"/>
      <c r="AY21" s="157"/>
      <c r="AZ21" s="157"/>
      <c r="BA21" s="162" t="e">
        <f>+#REF!/(#REF!*182.5)%</f>
        <v>#REF!</v>
      </c>
      <c r="BB21" s="163" t="e">
        <f>+#REF!/(#REF!*182.5)%</f>
        <v>#REF!</v>
      </c>
    </row>
    <row r="22" spans="1:54" ht="21" customHeight="1" x14ac:dyDescent="0.25">
      <c r="C22" s="104"/>
      <c r="D22" s="104"/>
      <c r="F22" s="10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</row>
    <row r="23" spans="1:54" ht="21" customHeight="1" x14ac:dyDescent="0.25">
      <c r="C23" s="104"/>
      <c r="D23" s="104"/>
      <c r="F23" s="10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</row>
    <row r="24" spans="1:54" ht="21" customHeight="1" x14ac:dyDescent="0.25">
      <c r="C24" s="104"/>
      <c r="D24" s="104"/>
      <c r="F24" s="10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</row>
    <row r="25" spans="1:54" ht="21" customHeight="1" x14ac:dyDescent="0.25">
      <c r="C25" s="104"/>
      <c r="D25" s="104"/>
      <c r="F25" s="10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</row>
    <row r="26" spans="1:54" ht="27" customHeight="1" x14ac:dyDescent="0.25">
      <c r="C26" s="105"/>
      <c r="D26" s="104"/>
      <c r="F26" s="10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</row>
    <row r="27" spans="1:54" ht="27" customHeight="1" x14ac:dyDescent="0.25">
      <c r="C27" s="105"/>
      <c r="D27" s="104"/>
      <c r="F27" s="10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</row>
    <row r="28" spans="1:54" ht="27" customHeight="1" x14ac:dyDescent="0.25">
      <c r="C28" s="106"/>
      <c r="D28" s="104"/>
      <c r="E28" s="106"/>
      <c r="F28" s="104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9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</row>
    <row r="29" spans="1:54" ht="27" customHeight="1" x14ac:dyDescent="0.25">
      <c r="D29" s="104"/>
      <c r="F29" s="104"/>
    </row>
    <row r="30" spans="1:54" ht="27" customHeight="1" x14ac:dyDescent="0.25">
      <c r="D30" s="118"/>
      <c r="E30" s="118"/>
      <c r="F30" s="118"/>
    </row>
    <row r="31" spans="1:54" ht="27" customHeight="1" x14ac:dyDescent="0.25"/>
    <row r="32" spans="1:54" ht="27" customHeight="1" x14ac:dyDescent="0.25"/>
    <row r="34" ht="15.75" customHeight="1" x14ac:dyDescent="0.25"/>
  </sheetData>
  <mergeCells count="40">
    <mergeCell ref="A1:BA1"/>
    <mergeCell ref="A2:BA2"/>
    <mergeCell ref="A3:A6"/>
    <mergeCell ref="B3:B6"/>
    <mergeCell ref="C3:AZ3"/>
    <mergeCell ref="BA3:BB5"/>
    <mergeCell ref="C4:S4"/>
    <mergeCell ref="T4:AJ4"/>
    <mergeCell ref="AK4:AZ4"/>
    <mergeCell ref="C5:C6"/>
    <mergeCell ref="D5:D6"/>
    <mergeCell ref="E5:E6"/>
    <mergeCell ref="G5:R5"/>
    <mergeCell ref="S5:S6"/>
    <mergeCell ref="T5:T6"/>
    <mergeCell ref="F5:F6"/>
    <mergeCell ref="AO5:AZ5"/>
    <mergeCell ref="V5:V6"/>
    <mergeCell ref="X5:AI5"/>
    <mergeCell ref="AJ5:AJ6"/>
    <mergeCell ref="AK5:AK6"/>
    <mergeCell ref="AL5:AL6"/>
    <mergeCell ref="AN5:AN6"/>
    <mergeCell ref="AM5:AM6"/>
    <mergeCell ref="W5:W6"/>
    <mergeCell ref="U5:U6"/>
    <mergeCell ref="G24:S24"/>
    <mergeCell ref="T24:AI24"/>
    <mergeCell ref="G22:S22"/>
    <mergeCell ref="T22:AI22"/>
    <mergeCell ref="G23:S23"/>
    <mergeCell ref="T23:AI23"/>
    <mergeCell ref="G25:S25"/>
    <mergeCell ref="T25:AI25"/>
    <mergeCell ref="G28:S28"/>
    <mergeCell ref="T28:AI28"/>
    <mergeCell ref="G26:S26"/>
    <mergeCell ref="T26:AI26"/>
    <mergeCell ref="G27:S27"/>
    <mergeCell ref="T27:AI27"/>
  </mergeCells>
  <pageMargins left="0.2" right="0.2" top="0.42" bottom="0.31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D6" sqref="BD6"/>
    </sheetView>
  </sheetViews>
  <sheetFormatPr defaultRowHeight="15" x14ac:dyDescent="0.25"/>
  <cols>
    <col min="1" max="1" width="4.42578125" style="103" customWidth="1"/>
    <col min="2" max="2" width="16.5703125" style="103" customWidth="1"/>
    <col min="3" max="3" width="11" style="103" customWidth="1"/>
    <col min="4" max="4" width="10.5703125" style="103" customWidth="1"/>
    <col min="5" max="5" width="10.140625" style="103" customWidth="1"/>
    <col min="6" max="6" width="8.7109375" style="103" customWidth="1"/>
    <col min="7" max="18" width="10.42578125" style="103" hidden="1" customWidth="1"/>
    <col min="19" max="19" width="6.140625" style="113" hidden="1" customWidth="1"/>
    <col min="20" max="21" width="9.42578125" style="103" customWidth="1"/>
    <col min="22" max="22" width="8.28515625" style="103" customWidth="1"/>
    <col min="23" max="23" width="8.42578125" style="103" customWidth="1"/>
    <col min="24" max="35" width="11.5703125" style="103" hidden="1" customWidth="1"/>
    <col min="36" max="36" width="5.140625" style="113" hidden="1" customWidth="1"/>
    <col min="37" max="37" width="9.5703125" style="103" customWidth="1"/>
    <col min="38" max="38" width="10.85546875" style="103" customWidth="1"/>
    <col min="39" max="39" width="10" style="103" customWidth="1"/>
    <col min="40" max="40" width="7.140625" style="103" customWidth="1"/>
    <col min="41" max="51" width="11.5703125" style="103" hidden="1" customWidth="1"/>
    <col min="52" max="52" width="11.85546875" style="103" hidden="1" customWidth="1"/>
    <col min="53" max="54" width="11.7109375" style="114" hidden="1" customWidth="1"/>
    <col min="55" max="55" width="9.7109375" style="103" customWidth="1"/>
    <col min="56" max="56" width="13" style="103" customWidth="1"/>
    <col min="57" max="16384" width="9.140625" style="103"/>
  </cols>
  <sheetData>
    <row r="1" spans="1:56" x14ac:dyDescent="0.25">
      <c r="A1" s="365" t="s">
        <v>70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103"/>
    </row>
    <row r="2" spans="1:56" ht="19.5" customHeight="1" x14ac:dyDescent="0.2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103"/>
    </row>
    <row r="3" spans="1:56" s="101" customFormat="1" ht="23.25" customHeight="1" x14ac:dyDescent="0.2">
      <c r="A3" s="373" t="s">
        <v>32</v>
      </c>
      <c r="B3" s="373" t="s">
        <v>33</v>
      </c>
      <c r="C3" s="373" t="s">
        <v>48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4" t="s">
        <v>38</v>
      </c>
      <c r="BB3" s="375"/>
    </row>
    <row r="4" spans="1:56" s="101" customFormat="1" ht="23.25" customHeight="1" x14ac:dyDescent="0.2">
      <c r="A4" s="373"/>
      <c r="B4" s="373"/>
      <c r="C4" s="370" t="s">
        <v>49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 t="s">
        <v>50</v>
      </c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 t="s">
        <v>51</v>
      </c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6"/>
      <c r="BB4" s="377"/>
    </row>
    <row r="5" spans="1:56" s="101" customFormat="1" ht="23.25" customHeight="1" x14ac:dyDescent="0.2">
      <c r="A5" s="373"/>
      <c r="B5" s="373"/>
      <c r="C5" s="378" t="s">
        <v>13</v>
      </c>
      <c r="D5" s="378" t="s">
        <v>40</v>
      </c>
      <c r="E5" s="378" t="s">
        <v>30</v>
      </c>
      <c r="F5" s="378" t="s">
        <v>69</v>
      </c>
      <c r="G5" s="380" t="s">
        <v>31</v>
      </c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383" t="s">
        <v>14</v>
      </c>
      <c r="T5" s="378" t="s">
        <v>13</v>
      </c>
      <c r="U5" s="378" t="s">
        <v>40</v>
      </c>
      <c r="V5" s="378" t="s">
        <v>30</v>
      </c>
      <c r="W5" s="378" t="s">
        <v>69</v>
      </c>
      <c r="X5" s="380" t="s">
        <v>31</v>
      </c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2"/>
      <c r="AJ5" s="383" t="s">
        <v>14</v>
      </c>
      <c r="AK5" s="378" t="s">
        <v>13</v>
      </c>
      <c r="AL5" s="378" t="s">
        <v>40</v>
      </c>
      <c r="AM5" s="378" t="s">
        <v>30</v>
      </c>
      <c r="AN5" s="378" t="s">
        <v>69</v>
      </c>
      <c r="AO5" s="380" t="s">
        <v>31</v>
      </c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2"/>
      <c r="BA5" s="376"/>
      <c r="BB5" s="377"/>
    </row>
    <row r="6" spans="1:56" s="101" customFormat="1" ht="33.75" customHeight="1" x14ac:dyDescent="0.2">
      <c r="A6" s="373"/>
      <c r="B6" s="373"/>
      <c r="C6" s="379"/>
      <c r="D6" s="379"/>
      <c r="E6" s="379"/>
      <c r="F6" s="379"/>
      <c r="G6" s="127" t="s">
        <v>18</v>
      </c>
      <c r="H6" s="127" t="s">
        <v>19</v>
      </c>
      <c r="I6" s="127" t="s">
        <v>20</v>
      </c>
      <c r="J6" s="127" t="s">
        <v>21</v>
      </c>
      <c r="K6" s="127" t="s">
        <v>22</v>
      </c>
      <c r="L6" s="127" t="s">
        <v>23</v>
      </c>
      <c r="M6" s="127" t="s">
        <v>24</v>
      </c>
      <c r="N6" s="127" t="s">
        <v>25</v>
      </c>
      <c r="O6" s="127" t="s">
        <v>26</v>
      </c>
      <c r="P6" s="127" t="s">
        <v>27</v>
      </c>
      <c r="Q6" s="127" t="s">
        <v>28</v>
      </c>
      <c r="R6" s="127" t="s">
        <v>29</v>
      </c>
      <c r="S6" s="384"/>
      <c r="T6" s="379"/>
      <c r="U6" s="379"/>
      <c r="V6" s="379"/>
      <c r="W6" s="379"/>
      <c r="X6" s="127" t="s">
        <v>18</v>
      </c>
      <c r="Y6" s="127" t="s">
        <v>19</v>
      </c>
      <c r="Z6" s="127" t="s">
        <v>20</v>
      </c>
      <c r="AA6" s="127" t="s">
        <v>21</v>
      </c>
      <c r="AB6" s="127" t="s">
        <v>22</v>
      </c>
      <c r="AC6" s="127" t="s">
        <v>23</v>
      </c>
      <c r="AD6" s="127" t="s">
        <v>24</v>
      </c>
      <c r="AE6" s="127" t="s">
        <v>25</v>
      </c>
      <c r="AF6" s="127" t="s">
        <v>26</v>
      </c>
      <c r="AG6" s="127" t="s">
        <v>27</v>
      </c>
      <c r="AH6" s="127" t="s">
        <v>28</v>
      </c>
      <c r="AI6" s="127" t="s">
        <v>29</v>
      </c>
      <c r="AJ6" s="384"/>
      <c r="AK6" s="379"/>
      <c r="AL6" s="379"/>
      <c r="AM6" s="379"/>
      <c r="AN6" s="379"/>
      <c r="AO6" s="127" t="s">
        <v>18</v>
      </c>
      <c r="AP6" s="127" t="s">
        <v>19</v>
      </c>
      <c r="AQ6" s="127" t="s">
        <v>20</v>
      </c>
      <c r="AR6" s="127" t="s">
        <v>21</v>
      </c>
      <c r="AS6" s="127" t="s">
        <v>22</v>
      </c>
      <c r="AT6" s="127" t="s">
        <v>23</v>
      </c>
      <c r="AU6" s="127" t="s">
        <v>24</v>
      </c>
      <c r="AV6" s="127" t="s">
        <v>25</v>
      </c>
      <c r="AW6" s="127" t="s">
        <v>26</v>
      </c>
      <c r="AX6" s="127" t="s">
        <v>27</v>
      </c>
      <c r="AY6" s="127" t="s">
        <v>28</v>
      </c>
      <c r="AZ6" s="127" t="s">
        <v>29</v>
      </c>
      <c r="BA6" s="117" t="s">
        <v>13</v>
      </c>
      <c r="BB6" s="117" t="s">
        <v>16</v>
      </c>
    </row>
    <row r="7" spans="1:56" s="101" customFormat="1" ht="22.5" customHeight="1" x14ac:dyDescent="0.2">
      <c r="A7" s="126"/>
      <c r="B7" s="126" t="s">
        <v>17</v>
      </c>
      <c r="C7" s="126">
        <f>C8+C13</f>
        <v>114650</v>
      </c>
      <c r="D7" s="126">
        <f t="shared" ref="D7:AS7" si="0">D8+D13</f>
        <v>46190</v>
      </c>
      <c r="E7" s="126">
        <f t="shared" si="0"/>
        <v>64380</v>
      </c>
      <c r="F7" s="126">
        <f>E7/C7%</f>
        <v>56.153510684692542</v>
      </c>
      <c r="G7" s="126">
        <f t="shared" si="0"/>
        <v>7799</v>
      </c>
      <c r="H7" s="126">
        <f t="shared" si="0"/>
        <v>9812</v>
      </c>
      <c r="I7" s="126">
        <f t="shared" si="0"/>
        <v>13583</v>
      </c>
      <c r="J7" s="126">
        <f t="shared" si="0"/>
        <v>11297</v>
      </c>
      <c r="K7" s="126">
        <f t="shared" si="0"/>
        <v>11655</v>
      </c>
      <c r="L7" s="126">
        <f t="shared" si="0"/>
        <v>10234</v>
      </c>
      <c r="M7" s="126">
        <f t="shared" si="0"/>
        <v>0</v>
      </c>
      <c r="N7" s="126">
        <f t="shared" si="0"/>
        <v>0</v>
      </c>
      <c r="O7" s="126">
        <f t="shared" si="0"/>
        <v>0</v>
      </c>
      <c r="P7" s="126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16370</v>
      </c>
      <c r="U7" s="126">
        <f t="shared" si="0"/>
        <v>6550</v>
      </c>
      <c r="V7" s="126">
        <f t="shared" si="0"/>
        <v>9023</v>
      </c>
      <c r="W7" s="126">
        <f>V7/T7%</f>
        <v>55.11912034208919</v>
      </c>
      <c r="X7" s="126">
        <f t="shared" si="0"/>
        <v>1204</v>
      </c>
      <c r="Y7" s="126">
        <f t="shared" si="0"/>
        <v>1216</v>
      </c>
      <c r="Z7" s="126">
        <f t="shared" si="0"/>
        <v>1539</v>
      </c>
      <c r="AA7" s="126">
        <f t="shared" si="0"/>
        <v>1586</v>
      </c>
      <c r="AB7" s="126">
        <f t="shared" si="0"/>
        <v>1753</v>
      </c>
      <c r="AC7" s="126">
        <f t="shared" si="0"/>
        <v>1725</v>
      </c>
      <c r="AD7" s="126">
        <f t="shared" si="0"/>
        <v>0</v>
      </c>
      <c r="AE7" s="126">
        <f t="shared" si="0"/>
        <v>0</v>
      </c>
      <c r="AF7" s="126">
        <f t="shared" si="0"/>
        <v>0</v>
      </c>
      <c r="AG7" s="126">
        <f t="shared" si="0"/>
        <v>0</v>
      </c>
      <c r="AH7" s="126">
        <f t="shared" si="0"/>
        <v>0</v>
      </c>
      <c r="AI7" s="126">
        <f t="shared" si="0"/>
        <v>0</v>
      </c>
      <c r="AJ7" s="126">
        <f t="shared" si="0"/>
        <v>0</v>
      </c>
      <c r="AK7" s="126">
        <f t="shared" si="0"/>
        <v>77660</v>
      </c>
      <c r="AL7" s="126">
        <f t="shared" si="0"/>
        <v>29804</v>
      </c>
      <c r="AM7" s="126">
        <f t="shared" si="0"/>
        <v>37862</v>
      </c>
      <c r="AN7" s="126">
        <f>AM7/AK7%</f>
        <v>48.753541076487252</v>
      </c>
      <c r="AO7" s="126">
        <f t="shared" si="0"/>
        <v>4912</v>
      </c>
      <c r="AP7" s="126">
        <f t="shared" si="0"/>
        <v>6173</v>
      </c>
      <c r="AQ7" s="126">
        <f t="shared" si="0"/>
        <v>7194</v>
      </c>
      <c r="AR7" s="126">
        <f t="shared" si="0"/>
        <v>6904</v>
      </c>
      <c r="AS7" s="126">
        <f t="shared" si="0"/>
        <v>6649</v>
      </c>
      <c r="AT7" s="126">
        <f t="shared" ref="AT7:AZ7" si="1">AT8+AT13</f>
        <v>5987</v>
      </c>
      <c r="AU7" s="147">
        <f t="shared" si="1"/>
        <v>0</v>
      </c>
      <c r="AV7" s="147">
        <f t="shared" si="1"/>
        <v>0</v>
      </c>
      <c r="AW7" s="147">
        <f t="shared" si="1"/>
        <v>0</v>
      </c>
      <c r="AX7" s="147">
        <f t="shared" si="1"/>
        <v>0</v>
      </c>
      <c r="AY7" s="147">
        <f t="shared" si="1"/>
        <v>0</v>
      </c>
      <c r="AZ7" s="147">
        <f t="shared" si="1"/>
        <v>0</v>
      </c>
      <c r="BA7" s="148" t="e">
        <f>+#REF!/(#REF!*182.5)%</f>
        <v>#REF!</v>
      </c>
      <c r="BB7" s="149" t="e">
        <f>+#REF!/(#REF!*182.5)%</f>
        <v>#REF!</v>
      </c>
      <c r="BC7" s="150"/>
      <c r="BD7" s="150"/>
    </row>
    <row r="8" spans="1:56" s="146" customFormat="1" ht="22.5" customHeight="1" x14ac:dyDescent="0.25">
      <c r="A8" s="122" t="s">
        <v>11</v>
      </c>
      <c r="B8" s="123" t="s">
        <v>0</v>
      </c>
      <c r="C8" s="122">
        <f>SUM(C9:C12)</f>
        <v>12050</v>
      </c>
      <c r="D8" s="122">
        <f t="shared" ref="D8:AS8" si="2">SUM(D9:D12)</f>
        <v>6819</v>
      </c>
      <c r="E8" s="122">
        <f t="shared" si="2"/>
        <v>6791</v>
      </c>
      <c r="F8" s="126">
        <f t="shared" ref="F8:F14" si="3">E8/C8%</f>
        <v>56.356846473029044</v>
      </c>
      <c r="G8" s="122">
        <f t="shared" si="2"/>
        <v>1037</v>
      </c>
      <c r="H8" s="122">
        <f t="shared" si="2"/>
        <v>880</v>
      </c>
      <c r="I8" s="122">
        <f t="shared" si="2"/>
        <v>1175</v>
      </c>
      <c r="J8" s="122">
        <f t="shared" si="2"/>
        <v>1344</v>
      </c>
      <c r="K8" s="122">
        <f t="shared" si="2"/>
        <v>1123</v>
      </c>
      <c r="L8" s="122">
        <f t="shared" si="2"/>
        <v>1232</v>
      </c>
      <c r="M8" s="122">
        <f t="shared" si="2"/>
        <v>0</v>
      </c>
      <c r="N8" s="122">
        <f t="shared" si="2"/>
        <v>0</v>
      </c>
      <c r="O8" s="122">
        <f t="shared" si="2"/>
        <v>0</v>
      </c>
      <c r="P8" s="122">
        <f t="shared" si="2"/>
        <v>0</v>
      </c>
      <c r="Q8" s="122">
        <f t="shared" si="2"/>
        <v>0</v>
      </c>
      <c r="R8" s="122">
        <f t="shared" si="2"/>
        <v>0</v>
      </c>
      <c r="S8" s="122">
        <f t="shared" si="2"/>
        <v>0</v>
      </c>
      <c r="T8" s="122">
        <f t="shared" si="2"/>
        <v>4770</v>
      </c>
      <c r="U8" s="122">
        <f t="shared" si="2"/>
        <v>2812</v>
      </c>
      <c r="V8" s="122">
        <f t="shared" si="2"/>
        <v>2760</v>
      </c>
      <c r="W8" s="126">
        <f t="shared" ref="W8:W14" si="4">V8/T8%</f>
        <v>57.861635220125784</v>
      </c>
      <c r="X8" s="122">
        <f t="shared" si="2"/>
        <v>400</v>
      </c>
      <c r="Y8" s="122">
        <f t="shared" si="2"/>
        <v>329</v>
      </c>
      <c r="Z8" s="122">
        <f t="shared" si="2"/>
        <v>464</v>
      </c>
      <c r="AA8" s="122">
        <f t="shared" si="2"/>
        <v>511</v>
      </c>
      <c r="AB8" s="122">
        <f t="shared" si="2"/>
        <v>503</v>
      </c>
      <c r="AC8" s="122">
        <f t="shared" si="2"/>
        <v>553</v>
      </c>
      <c r="AD8" s="122">
        <f t="shared" si="2"/>
        <v>0</v>
      </c>
      <c r="AE8" s="122">
        <f t="shared" si="2"/>
        <v>0</v>
      </c>
      <c r="AF8" s="122">
        <f t="shared" si="2"/>
        <v>0</v>
      </c>
      <c r="AG8" s="122">
        <f t="shared" si="2"/>
        <v>0</v>
      </c>
      <c r="AH8" s="122">
        <f t="shared" si="2"/>
        <v>0</v>
      </c>
      <c r="AI8" s="122">
        <f t="shared" si="2"/>
        <v>0</v>
      </c>
      <c r="AJ8" s="122">
        <f t="shared" si="2"/>
        <v>0</v>
      </c>
      <c r="AK8" s="122">
        <f t="shared" si="2"/>
        <v>6860</v>
      </c>
      <c r="AL8" s="122">
        <f t="shared" si="2"/>
        <v>4000</v>
      </c>
      <c r="AM8" s="122">
        <f t="shared" si="2"/>
        <v>3912</v>
      </c>
      <c r="AN8" s="126">
        <f t="shared" ref="AN8:AN14" si="5">AM8/AK8%</f>
        <v>57.0262390670554</v>
      </c>
      <c r="AO8" s="122">
        <f t="shared" si="2"/>
        <v>623</v>
      </c>
      <c r="AP8" s="122">
        <f t="shared" si="2"/>
        <v>532</v>
      </c>
      <c r="AQ8" s="122">
        <f t="shared" si="2"/>
        <v>695</v>
      </c>
      <c r="AR8" s="122">
        <f t="shared" si="2"/>
        <v>816</v>
      </c>
      <c r="AS8" s="122">
        <f t="shared" si="2"/>
        <v>590</v>
      </c>
      <c r="AT8" s="122">
        <f t="shared" ref="AT8:AZ8" si="6">SUM(AT9:AT11)</f>
        <v>613</v>
      </c>
      <c r="AU8" s="151">
        <f t="shared" si="6"/>
        <v>0</v>
      </c>
      <c r="AV8" s="151">
        <f t="shared" si="6"/>
        <v>0</v>
      </c>
      <c r="AW8" s="151">
        <f t="shared" si="6"/>
        <v>0</v>
      </c>
      <c r="AX8" s="151">
        <f t="shared" si="6"/>
        <v>0</v>
      </c>
      <c r="AY8" s="151">
        <f t="shared" si="6"/>
        <v>0</v>
      </c>
      <c r="AZ8" s="151">
        <f t="shared" si="6"/>
        <v>0</v>
      </c>
      <c r="BA8" s="148" t="e">
        <f>+#REF!/(#REF!*182.5)%</f>
        <v>#REF!</v>
      </c>
      <c r="BB8" s="149" t="e">
        <f>+#REF!/(#REF!*182.5)%</f>
        <v>#REF!</v>
      </c>
      <c r="BD8" s="152"/>
    </row>
    <row r="9" spans="1:56" ht="22.5" customHeight="1" x14ac:dyDescent="0.25">
      <c r="A9" s="153">
        <v>1</v>
      </c>
      <c r="B9" s="154" t="s">
        <v>1</v>
      </c>
      <c r="C9" s="153">
        <v>11000</v>
      </c>
      <c r="D9" s="155">
        <v>6619</v>
      </c>
      <c r="E9" s="153">
        <f>SUM(G9:R9)</f>
        <v>6402</v>
      </c>
      <c r="F9" s="153">
        <f t="shared" si="3"/>
        <v>58.2</v>
      </c>
      <c r="G9" s="156">
        <f>13+979</f>
        <v>992</v>
      </c>
      <c r="H9" s="156">
        <f>18+805</f>
        <v>823</v>
      </c>
      <c r="I9" s="156">
        <f>14+1059</f>
        <v>1073</v>
      </c>
      <c r="J9" s="156">
        <f>11+1260</f>
        <v>1271</v>
      </c>
      <c r="K9" s="156">
        <v>1066</v>
      </c>
      <c r="L9" s="156">
        <v>1177</v>
      </c>
      <c r="M9" s="157"/>
      <c r="N9" s="157"/>
      <c r="O9" s="157"/>
      <c r="P9" s="157"/>
      <c r="Q9" s="157"/>
      <c r="R9" s="157"/>
      <c r="S9" s="158"/>
      <c r="T9" s="153">
        <v>4500</v>
      </c>
      <c r="U9" s="155">
        <v>2778</v>
      </c>
      <c r="V9" s="153">
        <f>SUM(X9:AI9)</f>
        <v>2659</v>
      </c>
      <c r="W9" s="153">
        <f t="shared" si="4"/>
        <v>59.088888888888889</v>
      </c>
      <c r="X9" s="156">
        <v>390</v>
      </c>
      <c r="Y9" s="156">
        <v>310</v>
      </c>
      <c r="Z9" s="156">
        <v>439</v>
      </c>
      <c r="AA9" s="156">
        <v>488</v>
      </c>
      <c r="AB9" s="156">
        <v>487</v>
      </c>
      <c r="AC9" s="156">
        <v>545</v>
      </c>
      <c r="AD9" s="157"/>
      <c r="AE9" s="157"/>
      <c r="AF9" s="157"/>
      <c r="AG9" s="157"/>
      <c r="AH9" s="157"/>
      <c r="AI9" s="157"/>
      <c r="AJ9" s="158"/>
      <c r="AK9" s="153">
        <v>6300</v>
      </c>
      <c r="AL9" s="155">
        <v>3841</v>
      </c>
      <c r="AM9" s="153">
        <f>SUM(AO9:AZ9)</f>
        <v>3642</v>
      </c>
      <c r="AN9" s="153">
        <f t="shared" si="5"/>
        <v>57.80952380952381</v>
      </c>
      <c r="AO9" s="144">
        <v>589</v>
      </c>
      <c r="AP9" s="144">
        <v>495</v>
      </c>
      <c r="AQ9" s="144">
        <v>620</v>
      </c>
      <c r="AR9" s="144">
        <v>772</v>
      </c>
      <c r="AS9" s="144">
        <v>554</v>
      </c>
      <c r="AT9" s="144">
        <v>612</v>
      </c>
      <c r="AU9" s="145"/>
      <c r="AV9" s="145"/>
      <c r="AW9" s="145"/>
      <c r="AX9" s="145"/>
      <c r="AY9" s="145"/>
      <c r="AZ9" s="145"/>
      <c r="BA9" s="159" t="e">
        <f>+#REF!/(#REF!*182.5)%</f>
        <v>#REF!</v>
      </c>
      <c r="BB9" s="160" t="e">
        <f>+#REF!/(#REF!*182.5)%</f>
        <v>#REF!</v>
      </c>
    </row>
    <row r="10" spans="1:56" ht="22.5" customHeight="1" x14ac:dyDescent="0.25">
      <c r="A10" s="153">
        <v>2</v>
      </c>
      <c r="B10" s="154" t="s">
        <v>64</v>
      </c>
      <c r="C10" s="153">
        <v>600</v>
      </c>
      <c r="D10" s="155">
        <v>70</v>
      </c>
      <c r="E10" s="153">
        <f>SUM(G10:R10)</f>
        <v>113</v>
      </c>
      <c r="F10" s="153">
        <f t="shared" si="3"/>
        <v>18.833333333333332</v>
      </c>
      <c r="G10" s="156">
        <v>14</v>
      </c>
      <c r="H10" s="156">
        <v>22</v>
      </c>
      <c r="I10" s="156">
        <v>27</v>
      </c>
      <c r="J10" s="156">
        <v>25</v>
      </c>
      <c r="K10" s="156">
        <v>16</v>
      </c>
      <c r="L10" s="156">
        <v>9</v>
      </c>
      <c r="M10" s="157"/>
      <c r="N10" s="157"/>
      <c r="O10" s="157"/>
      <c r="P10" s="157"/>
      <c r="Q10" s="157"/>
      <c r="R10" s="157"/>
      <c r="S10" s="158"/>
      <c r="T10" s="153">
        <v>250</v>
      </c>
      <c r="U10" s="155">
        <v>26</v>
      </c>
      <c r="V10" s="153">
        <f>SUM(X10:AI10)</f>
        <v>91</v>
      </c>
      <c r="W10" s="153">
        <f t="shared" si="4"/>
        <v>36.4</v>
      </c>
      <c r="X10" s="156">
        <v>10</v>
      </c>
      <c r="Y10" s="156">
        <v>18</v>
      </c>
      <c r="Z10" s="156">
        <v>21</v>
      </c>
      <c r="AA10" s="156">
        <v>19</v>
      </c>
      <c r="AB10" s="156">
        <v>15</v>
      </c>
      <c r="AC10" s="156">
        <v>8</v>
      </c>
      <c r="AD10" s="157"/>
      <c r="AE10" s="157"/>
      <c r="AF10" s="157"/>
      <c r="AG10" s="157"/>
      <c r="AH10" s="157"/>
      <c r="AI10" s="157"/>
      <c r="AJ10" s="158"/>
      <c r="AK10" s="153">
        <v>250</v>
      </c>
      <c r="AL10" s="155">
        <v>44</v>
      </c>
      <c r="AM10" s="153">
        <f>SUM(AO10:AZ10)</f>
        <v>20</v>
      </c>
      <c r="AN10" s="153">
        <f t="shared" si="5"/>
        <v>8</v>
      </c>
      <c r="AO10" s="144">
        <v>4</v>
      </c>
      <c r="AP10" s="144">
        <v>3</v>
      </c>
      <c r="AQ10" s="144">
        <v>6</v>
      </c>
      <c r="AR10" s="144">
        <v>6</v>
      </c>
      <c r="AS10" s="144">
        <v>0</v>
      </c>
      <c r="AT10" s="144">
        <v>1</v>
      </c>
      <c r="AU10" s="145"/>
      <c r="AV10" s="145"/>
      <c r="AW10" s="145"/>
      <c r="AX10" s="145"/>
      <c r="AY10" s="145"/>
      <c r="AZ10" s="145"/>
      <c r="BA10" s="159" t="e">
        <f>+#REF!/(#REF!*182.5)%</f>
        <v>#REF!</v>
      </c>
      <c r="BB10" s="160" t="e">
        <f>+#REF!/(#REF!*182.5)%</f>
        <v>#REF!</v>
      </c>
    </row>
    <row r="11" spans="1:56" ht="22.5" customHeight="1" x14ac:dyDescent="0.25">
      <c r="A11" s="153">
        <v>3</v>
      </c>
      <c r="B11" s="154" t="s">
        <v>3</v>
      </c>
      <c r="C11" s="153">
        <v>50</v>
      </c>
      <c r="D11" s="155">
        <v>13</v>
      </c>
      <c r="E11" s="153">
        <f>SUM(G11:R11)</f>
        <v>18</v>
      </c>
      <c r="F11" s="153">
        <f>E11/C11*100</f>
        <v>36</v>
      </c>
      <c r="G11" s="156">
        <v>1</v>
      </c>
      <c r="H11" s="156">
        <v>1</v>
      </c>
      <c r="I11" s="156">
        <v>8</v>
      </c>
      <c r="J11" s="156">
        <v>5</v>
      </c>
      <c r="K11" s="156">
        <v>3</v>
      </c>
      <c r="L11" s="156">
        <v>0</v>
      </c>
      <c r="M11" s="157"/>
      <c r="N11" s="157"/>
      <c r="O11" s="157"/>
      <c r="P11" s="157"/>
      <c r="Q11" s="157"/>
      <c r="R11" s="157"/>
      <c r="S11" s="158"/>
      <c r="T11" s="153">
        <v>20</v>
      </c>
      <c r="U11" s="155">
        <v>8</v>
      </c>
      <c r="V11" s="153">
        <f>SUM(X11:AI11)</f>
        <v>10</v>
      </c>
      <c r="W11" s="153">
        <f>V11/T11*100</f>
        <v>50</v>
      </c>
      <c r="X11" s="156">
        <v>0</v>
      </c>
      <c r="Y11" s="156">
        <v>1</v>
      </c>
      <c r="Z11" s="156">
        <v>4</v>
      </c>
      <c r="AA11" s="156">
        <v>4</v>
      </c>
      <c r="AB11" s="156">
        <v>1</v>
      </c>
      <c r="AC11" s="156">
        <v>0</v>
      </c>
      <c r="AD11" s="157"/>
      <c r="AE11" s="157"/>
      <c r="AF11" s="157"/>
      <c r="AG11" s="157"/>
      <c r="AH11" s="157"/>
      <c r="AI11" s="157"/>
      <c r="AJ11" s="158"/>
      <c r="AK11" s="153">
        <v>10</v>
      </c>
      <c r="AL11" s="155">
        <v>5</v>
      </c>
      <c r="AM11" s="153">
        <f>SUM(AO11:AZ11)</f>
        <v>6</v>
      </c>
      <c r="AN11" s="153">
        <f>AM11/AK11*100</f>
        <v>60</v>
      </c>
      <c r="AO11" s="144">
        <v>1</v>
      </c>
      <c r="AP11" s="144">
        <v>0</v>
      </c>
      <c r="AQ11" s="144">
        <v>4</v>
      </c>
      <c r="AR11" s="144">
        <v>1</v>
      </c>
      <c r="AS11" s="144">
        <v>0</v>
      </c>
      <c r="AT11" s="144">
        <v>0</v>
      </c>
      <c r="AU11" s="145"/>
      <c r="AV11" s="145"/>
      <c r="AW11" s="145"/>
      <c r="AX11" s="145"/>
      <c r="AY11" s="145"/>
      <c r="AZ11" s="145"/>
      <c r="BA11" s="159" t="e">
        <f>+#REF!/(#REF!*182.5)%</f>
        <v>#REF!</v>
      </c>
      <c r="BB11" s="160" t="e">
        <f>+#REF!/(#REF!*182.5)%</f>
        <v>#REF!</v>
      </c>
    </row>
    <row r="12" spans="1:56" ht="22.5" customHeight="1" x14ac:dyDescent="0.25">
      <c r="A12" s="153">
        <v>4</v>
      </c>
      <c r="B12" s="154" t="s">
        <v>66</v>
      </c>
      <c r="C12" s="153">
        <v>400</v>
      </c>
      <c r="D12" s="155">
        <v>117</v>
      </c>
      <c r="E12" s="153">
        <f>SUM(G12:R12)</f>
        <v>258</v>
      </c>
      <c r="F12" s="153">
        <f t="shared" si="3"/>
        <v>64.5</v>
      </c>
      <c r="G12" s="156">
        <v>30</v>
      </c>
      <c r="H12" s="156">
        <v>34</v>
      </c>
      <c r="I12" s="156">
        <v>67</v>
      </c>
      <c r="J12" s="156">
        <v>43</v>
      </c>
      <c r="K12" s="156">
        <v>38</v>
      </c>
      <c r="L12" s="156">
        <v>46</v>
      </c>
      <c r="M12" s="157"/>
      <c r="N12" s="157"/>
      <c r="O12" s="157"/>
      <c r="P12" s="157"/>
      <c r="Q12" s="157"/>
      <c r="R12" s="157"/>
      <c r="S12" s="158"/>
      <c r="T12" s="153"/>
      <c r="U12" s="155"/>
      <c r="V12" s="153">
        <f>SUM(X12:AI12)</f>
        <v>0</v>
      </c>
      <c r="W12" s="153" t="e">
        <f t="shared" si="4"/>
        <v>#DIV/0!</v>
      </c>
      <c r="X12" s="156"/>
      <c r="Y12" s="156"/>
      <c r="Z12" s="156"/>
      <c r="AA12" s="156"/>
      <c r="AB12" s="156"/>
      <c r="AC12" s="156"/>
      <c r="AD12" s="157"/>
      <c r="AE12" s="157"/>
      <c r="AF12" s="157"/>
      <c r="AG12" s="157"/>
      <c r="AH12" s="157"/>
      <c r="AI12" s="157"/>
      <c r="AJ12" s="158"/>
      <c r="AK12" s="153">
        <v>300</v>
      </c>
      <c r="AL12" s="155">
        <v>110</v>
      </c>
      <c r="AM12" s="153">
        <f>SUM(AO12:AZ12)</f>
        <v>244</v>
      </c>
      <c r="AN12" s="153">
        <f t="shared" si="5"/>
        <v>81.333333333333329</v>
      </c>
      <c r="AO12" s="144">
        <v>29</v>
      </c>
      <c r="AP12" s="144">
        <v>34</v>
      </c>
      <c r="AQ12" s="144">
        <v>65</v>
      </c>
      <c r="AR12" s="144">
        <v>37</v>
      </c>
      <c r="AS12" s="144">
        <v>36</v>
      </c>
      <c r="AT12" s="144">
        <v>43</v>
      </c>
      <c r="AU12" s="145"/>
      <c r="AV12" s="145"/>
      <c r="AW12" s="145"/>
      <c r="AX12" s="145"/>
      <c r="AY12" s="145"/>
      <c r="AZ12" s="145"/>
      <c r="BA12" s="159" t="e">
        <f>+#REF!/(#REF!*182.5)%</f>
        <v>#REF!</v>
      </c>
      <c r="BB12" s="160" t="e">
        <f>+#REF!/(#REF!*182.5)%</f>
        <v>#REF!</v>
      </c>
    </row>
    <row r="13" spans="1:56" s="146" customFormat="1" ht="22.5" customHeight="1" x14ac:dyDescent="0.25">
      <c r="A13" s="122" t="s">
        <v>12</v>
      </c>
      <c r="B13" s="123" t="s">
        <v>4</v>
      </c>
      <c r="C13" s="122">
        <f>SUM(C14:C21)</f>
        <v>102600</v>
      </c>
      <c r="D13" s="122">
        <f t="shared" ref="D13:AS13" si="7">SUM(D14:D21)</f>
        <v>39371</v>
      </c>
      <c r="E13" s="122">
        <f t="shared" si="7"/>
        <v>57589</v>
      </c>
      <c r="F13" s="126">
        <f t="shared" si="3"/>
        <v>56.129629629629626</v>
      </c>
      <c r="G13" s="122">
        <f t="shared" si="7"/>
        <v>6762</v>
      </c>
      <c r="H13" s="122">
        <f t="shared" si="7"/>
        <v>8932</v>
      </c>
      <c r="I13" s="122">
        <f t="shared" si="7"/>
        <v>12408</v>
      </c>
      <c r="J13" s="122">
        <f t="shared" si="7"/>
        <v>9953</v>
      </c>
      <c r="K13" s="122">
        <f t="shared" si="7"/>
        <v>10532</v>
      </c>
      <c r="L13" s="122">
        <f t="shared" si="7"/>
        <v>9002</v>
      </c>
      <c r="M13" s="122">
        <f t="shared" si="7"/>
        <v>0</v>
      </c>
      <c r="N13" s="122">
        <f t="shared" si="7"/>
        <v>0</v>
      </c>
      <c r="O13" s="122">
        <f t="shared" si="7"/>
        <v>0</v>
      </c>
      <c r="P13" s="122">
        <f t="shared" si="7"/>
        <v>0</v>
      </c>
      <c r="Q13" s="122">
        <f t="shared" si="7"/>
        <v>0</v>
      </c>
      <c r="R13" s="122">
        <f t="shared" si="7"/>
        <v>0</v>
      </c>
      <c r="S13" s="122">
        <f t="shared" si="7"/>
        <v>0</v>
      </c>
      <c r="T13" s="122">
        <f t="shared" si="7"/>
        <v>11600</v>
      </c>
      <c r="U13" s="122">
        <f t="shared" si="7"/>
        <v>3738</v>
      </c>
      <c r="V13" s="122">
        <f t="shared" si="7"/>
        <v>6263</v>
      </c>
      <c r="W13" s="126">
        <f t="shared" si="4"/>
        <v>53.991379310344826</v>
      </c>
      <c r="X13" s="122">
        <f t="shared" si="7"/>
        <v>804</v>
      </c>
      <c r="Y13" s="122">
        <f t="shared" si="7"/>
        <v>887</v>
      </c>
      <c r="Z13" s="122">
        <f t="shared" si="7"/>
        <v>1075</v>
      </c>
      <c r="AA13" s="122">
        <f t="shared" si="7"/>
        <v>1075</v>
      </c>
      <c r="AB13" s="122">
        <f t="shared" si="7"/>
        <v>1250</v>
      </c>
      <c r="AC13" s="122">
        <f t="shared" si="7"/>
        <v>1172</v>
      </c>
      <c r="AD13" s="122">
        <f t="shared" si="7"/>
        <v>0</v>
      </c>
      <c r="AE13" s="122">
        <f t="shared" si="7"/>
        <v>0</v>
      </c>
      <c r="AF13" s="122">
        <f t="shared" si="7"/>
        <v>0</v>
      </c>
      <c r="AG13" s="122">
        <f t="shared" si="7"/>
        <v>0</v>
      </c>
      <c r="AH13" s="122">
        <f t="shared" si="7"/>
        <v>0</v>
      </c>
      <c r="AI13" s="122">
        <f t="shared" si="7"/>
        <v>0</v>
      </c>
      <c r="AJ13" s="122">
        <f t="shared" si="7"/>
        <v>0</v>
      </c>
      <c r="AK13" s="122">
        <f t="shared" si="7"/>
        <v>70800</v>
      </c>
      <c r="AL13" s="122">
        <f t="shared" si="7"/>
        <v>25804</v>
      </c>
      <c r="AM13" s="122">
        <f t="shared" si="7"/>
        <v>33950</v>
      </c>
      <c r="AN13" s="126">
        <f t="shared" si="5"/>
        <v>47.951977401129945</v>
      </c>
      <c r="AO13" s="122">
        <f t="shared" si="7"/>
        <v>4289</v>
      </c>
      <c r="AP13" s="122">
        <f t="shared" si="7"/>
        <v>5641</v>
      </c>
      <c r="AQ13" s="122">
        <f t="shared" si="7"/>
        <v>6499</v>
      </c>
      <c r="AR13" s="122">
        <f t="shared" si="7"/>
        <v>6088</v>
      </c>
      <c r="AS13" s="122">
        <f t="shared" si="7"/>
        <v>6059</v>
      </c>
      <c r="AT13" s="122">
        <f t="shared" ref="AT13:AZ13" si="8">SUM(AT14:AT21)</f>
        <v>5374</v>
      </c>
      <c r="AU13" s="151">
        <f t="shared" si="8"/>
        <v>0</v>
      </c>
      <c r="AV13" s="151">
        <f t="shared" si="8"/>
        <v>0</v>
      </c>
      <c r="AW13" s="151">
        <f t="shared" si="8"/>
        <v>0</v>
      </c>
      <c r="AX13" s="151">
        <f t="shared" si="8"/>
        <v>0</v>
      </c>
      <c r="AY13" s="151">
        <f t="shared" si="8"/>
        <v>0</v>
      </c>
      <c r="AZ13" s="151">
        <f t="shared" si="8"/>
        <v>0</v>
      </c>
      <c r="BA13" s="148" t="e">
        <f>+#REF!/(#REF!*182.5)%</f>
        <v>#REF!</v>
      </c>
      <c r="BB13" s="149" t="e">
        <f>+#REF!/(#REF!*182.5)%</f>
        <v>#REF!</v>
      </c>
    </row>
    <row r="14" spans="1:56" ht="22.5" customHeight="1" x14ac:dyDescent="0.25">
      <c r="A14" s="153">
        <v>1</v>
      </c>
      <c r="B14" s="154" t="s">
        <v>5</v>
      </c>
      <c r="C14" s="153">
        <v>10500</v>
      </c>
      <c r="D14" s="155">
        <v>3171</v>
      </c>
      <c r="E14" s="153">
        <f>SUM(G14:R14)</f>
        <v>4126</v>
      </c>
      <c r="F14" s="153">
        <f t="shared" si="3"/>
        <v>39.295238095238098</v>
      </c>
      <c r="G14" s="156">
        <v>796</v>
      </c>
      <c r="H14" s="156">
        <v>468</v>
      </c>
      <c r="I14" s="156">
        <v>726</v>
      </c>
      <c r="J14" s="156">
        <v>689</v>
      </c>
      <c r="K14" s="156">
        <v>769</v>
      </c>
      <c r="L14" s="156">
        <v>678</v>
      </c>
      <c r="M14" s="157"/>
      <c r="N14" s="157"/>
      <c r="O14" s="157"/>
      <c r="P14" s="157"/>
      <c r="Q14" s="157"/>
      <c r="R14" s="157"/>
      <c r="S14" s="158"/>
      <c r="T14" s="153">
        <v>1500</v>
      </c>
      <c r="U14" s="155">
        <v>333</v>
      </c>
      <c r="V14" s="153">
        <f>SUM(X14:AI14)</f>
        <v>622</v>
      </c>
      <c r="W14" s="153">
        <f t="shared" si="4"/>
        <v>41.466666666666669</v>
      </c>
      <c r="X14" s="156">
        <v>137</v>
      </c>
      <c r="Y14" s="156">
        <v>51</v>
      </c>
      <c r="Z14" s="156">
        <v>99</v>
      </c>
      <c r="AA14" s="156">
        <v>80</v>
      </c>
      <c r="AB14" s="156">
        <v>144</v>
      </c>
      <c r="AC14" s="156">
        <v>111</v>
      </c>
      <c r="AD14" s="157"/>
      <c r="AE14" s="157"/>
      <c r="AF14" s="157"/>
      <c r="AG14" s="157"/>
      <c r="AH14" s="157"/>
      <c r="AI14" s="157"/>
      <c r="AJ14" s="158"/>
      <c r="AK14" s="153">
        <v>8000</v>
      </c>
      <c r="AL14" s="155">
        <v>2783</v>
      </c>
      <c r="AM14" s="153">
        <f>SUM(AO14:AZ14)</f>
        <v>3504</v>
      </c>
      <c r="AN14" s="153">
        <f t="shared" si="5"/>
        <v>43.8</v>
      </c>
      <c r="AO14" s="144">
        <v>659</v>
      </c>
      <c r="AP14" s="144">
        <v>417</v>
      </c>
      <c r="AQ14" s="144">
        <v>627</v>
      </c>
      <c r="AR14" s="144">
        <v>609</v>
      </c>
      <c r="AS14" s="144">
        <v>625</v>
      </c>
      <c r="AT14" s="144">
        <v>567</v>
      </c>
      <c r="AU14" s="145"/>
      <c r="AV14" s="145"/>
      <c r="AW14" s="145"/>
      <c r="AX14" s="145"/>
      <c r="AY14" s="145"/>
      <c r="AZ14" s="145"/>
      <c r="BA14" s="159" t="e">
        <f>+#REF!/(#REF!*182.5)%</f>
        <v>#REF!</v>
      </c>
      <c r="BB14" s="160" t="e">
        <f>+#REF!/(#REF!*182.5)%</f>
        <v>#REF!</v>
      </c>
    </row>
    <row r="15" spans="1:56" ht="22.5" customHeight="1" x14ac:dyDescent="0.25">
      <c r="A15" s="153">
        <v>2</v>
      </c>
      <c r="B15" s="154" t="s">
        <v>6</v>
      </c>
      <c r="C15" s="153">
        <v>18000</v>
      </c>
      <c r="D15" s="155">
        <v>5979</v>
      </c>
      <c r="E15" s="153">
        <f>G15+H15+I15+J15+K15+L15</f>
        <v>6700</v>
      </c>
      <c r="F15" s="153">
        <f>E15/C15%</f>
        <v>37.222222222222221</v>
      </c>
      <c r="G15" s="156">
        <v>708</v>
      </c>
      <c r="H15" s="156">
        <v>1206</v>
      </c>
      <c r="I15" s="156">
        <v>1261</v>
      </c>
      <c r="J15" s="156">
        <v>1285</v>
      </c>
      <c r="K15" s="156">
        <v>1285</v>
      </c>
      <c r="L15" s="156">
        <v>955</v>
      </c>
      <c r="M15" s="157"/>
      <c r="N15" s="157"/>
      <c r="O15" s="157"/>
      <c r="P15" s="157"/>
      <c r="Q15" s="157"/>
      <c r="R15" s="157"/>
      <c r="S15" s="158"/>
      <c r="T15" s="153">
        <v>2200</v>
      </c>
      <c r="U15" s="155">
        <v>625</v>
      </c>
      <c r="V15" s="153">
        <f>X15+Y15+Z15+AA15+AB15+AC15</f>
        <v>750</v>
      </c>
      <c r="W15" s="153">
        <f>V15/T15%</f>
        <v>34.090909090909093</v>
      </c>
      <c r="X15" s="156">
        <v>89</v>
      </c>
      <c r="Y15" s="156">
        <v>108</v>
      </c>
      <c r="Z15" s="156">
        <v>77</v>
      </c>
      <c r="AA15" s="156">
        <v>151</v>
      </c>
      <c r="AB15" s="156">
        <v>182</v>
      </c>
      <c r="AC15" s="156">
        <v>143</v>
      </c>
      <c r="AD15" s="157"/>
      <c r="AE15" s="157"/>
      <c r="AF15" s="157"/>
      <c r="AG15" s="157"/>
      <c r="AH15" s="157"/>
      <c r="AI15" s="157"/>
      <c r="AJ15" s="158"/>
      <c r="AK15" s="153">
        <v>15000</v>
      </c>
      <c r="AL15" s="155">
        <v>5126</v>
      </c>
      <c r="AM15" s="153">
        <f>AO15+AP15+AQ15+AR15+AS15+AT15</f>
        <v>5743</v>
      </c>
      <c r="AN15" s="153">
        <f>AM15/AK15%</f>
        <v>38.286666666666669</v>
      </c>
      <c r="AO15" s="144">
        <v>600</v>
      </c>
      <c r="AP15" s="144">
        <v>1076</v>
      </c>
      <c r="AQ15" s="144">
        <v>1146</v>
      </c>
      <c r="AR15" s="144">
        <v>1092</v>
      </c>
      <c r="AS15" s="144">
        <v>1063</v>
      </c>
      <c r="AT15" s="144">
        <v>766</v>
      </c>
      <c r="AU15" s="145"/>
      <c r="AV15" s="145"/>
      <c r="AW15" s="145"/>
      <c r="AX15" s="145"/>
      <c r="AY15" s="145"/>
      <c r="AZ15" s="145"/>
      <c r="BA15" s="159" t="e">
        <f>+#REF!/(#REF!*182.5)%</f>
        <v>#REF!</v>
      </c>
      <c r="BB15" s="160" t="e">
        <f>+#REF!/(#REF!*182.5)%</f>
        <v>#REF!</v>
      </c>
    </row>
    <row r="16" spans="1:56" ht="22.5" customHeight="1" x14ac:dyDescent="0.25">
      <c r="A16" s="153">
        <v>3</v>
      </c>
      <c r="B16" s="154" t="s">
        <v>7</v>
      </c>
      <c r="C16" s="153">
        <v>19000</v>
      </c>
      <c r="D16" s="155">
        <v>4761</v>
      </c>
      <c r="E16" s="153">
        <f>SUM(G16:R16)</f>
        <v>8157</v>
      </c>
      <c r="F16" s="153">
        <f>E16/C16*100</f>
        <v>42.931578947368422</v>
      </c>
      <c r="G16" s="156">
        <v>1098</v>
      </c>
      <c r="H16" s="156">
        <v>1185</v>
      </c>
      <c r="I16" s="156">
        <v>1562</v>
      </c>
      <c r="J16" s="156">
        <v>1428</v>
      </c>
      <c r="K16" s="156">
        <v>1352</v>
      </c>
      <c r="L16" s="156">
        <v>1532</v>
      </c>
      <c r="M16" s="157"/>
      <c r="N16" s="157"/>
      <c r="O16" s="157"/>
      <c r="P16" s="157"/>
      <c r="Q16" s="157"/>
      <c r="R16" s="157"/>
      <c r="S16" s="158"/>
      <c r="T16" s="153">
        <v>1900</v>
      </c>
      <c r="U16" s="155">
        <v>383</v>
      </c>
      <c r="V16" s="153">
        <f>SUM(X16:AI16)</f>
        <v>802</v>
      </c>
      <c r="W16" s="153">
        <f>V16/T16*100</f>
        <v>42.21052631578948</v>
      </c>
      <c r="X16" s="156">
        <v>106</v>
      </c>
      <c r="Y16" s="156">
        <v>154</v>
      </c>
      <c r="Z16" s="156">
        <v>139</v>
      </c>
      <c r="AA16" s="156">
        <v>108</v>
      </c>
      <c r="AB16" s="156">
        <v>144</v>
      </c>
      <c r="AC16" s="156">
        <v>151</v>
      </c>
      <c r="AD16" s="157"/>
      <c r="AE16" s="157"/>
      <c r="AF16" s="157"/>
      <c r="AG16" s="157"/>
      <c r="AH16" s="157"/>
      <c r="AI16" s="157"/>
      <c r="AJ16" s="158"/>
      <c r="AK16" s="153">
        <v>11000</v>
      </c>
      <c r="AL16" s="155">
        <v>3092</v>
      </c>
      <c r="AM16" s="153">
        <f>SUM(AO16:AZ16)</f>
        <v>3981</v>
      </c>
      <c r="AN16" s="153">
        <f>AM16/AK16*100</f>
        <v>36.190909090909088</v>
      </c>
      <c r="AO16" s="144">
        <v>475</v>
      </c>
      <c r="AP16" s="144">
        <v>644</v>
      </c>
      <c r="AQ16" s="144">
        <v>780</v>
      </c>
      <c r="AR16" s="144">
        <v>772</v>
      </c>
      <c r="AS16" s="144">
        <v>732</v>
      </c>
      <c r="AT16" s="144">
        <v>578</v>
      </c>
      <c r="AU16" s="145"/>
      <c r="AV16" s="145"/>
      <c r="AW16" s="145"/>
      <c r="AX16" s="145"/>
      <c r="AY16" s="145"/>
      <c r="AZ16" s="145"/>
      <c r="BA16" s="159" t="e">
        <f>+#REF!/(#REF!*182.5)%</f>
        <v>#REF!</v>
      </c>
      <c r="BB16" s="160" t="e">
        <f>+#REF!/(#REF!*182.5)%</f>
        <v>#REF!</v>
      </c>
    </row>
    <row r="17" spans="1:54" ht="22.5" customHeight="1" x14ac:dyDescent="0.25">
      <c r="A17" s="153">
        <v>4</v>
      </c>
      <c r="B17" s="154" t="s">
        <v>8</v>
      </c>
      <c r="C17" s="153">
        <v>20000</v>
      </c>
      <c r="D17" s="155">
        <v>10262</v>
      </c>
      <c r="E17" s="153">
        <f>SUM(G17:R17)</f>
        <v>13107</v>
      </c>
      <c r="F17" s="153">
        <f>E17/C17%</f>
        <v>65.534999999999997</v>
      </c>
      <c r="G17" s="156">
        <v>1406</v>
      </c>
      <c r="H17" s="156">
        <v>2145</v>
      </c>
      <c r="I17" s="156">
        <v>2717</v>
      </c>
      <c r="J17" s="156">
        <v>2292</v>
      </c>
      <c r="K17" s="156">
        <v>2316</v>
      </c>
      <c r="L17" s="156">
        <v>2231</v>
      </c>
      <c r="M17" s="157"/>
      <c r="N17" s="157"/>
      <c r="O17" s="157"/>
      <c r="P17" s="157"/>
      <c r="Q17" s="157"/>
      <c r="R17" s="157"/>
      <c r="S17" s="158"/>
      <c r="T17" s="153">
        <v>1400</v>
      </c>
      <c r="U17" s="155">
        <v>447</v>
      </c>
      <c r="V17" s="153">
        <f>SUM(X17:AI17)</f>
        <v>833</v>
      </c>
      <c r="W17" s="153">
        <f>V17/T17%</f>
        <v>59.5</v>
      </c>
      <c r="X17" s="156">
        <v>89</v>
      </c>
      <c r="Y17" s="156">
        <v>111</v>
      </c>
      <c r="Z17" s="156">
        <v>144</v>
      </c>
      <c r="AA17" s="156">
        <v>196</v>
      </c>
      <c r="AB17" s="156">
        <v>168</v>
      </c>
      <c r="AC17" s="156">
        <v>125</v>
      </c>
      <c r="AD17" s="157"/>
      <c r="AE17" s="157"/>
      <c r="AF17" s="157"/>
      <c r="AG17" s="157"/>
      <c r="AH17" s="157"/>
      <c r="AI17" s="157"/>
      <c r="AJ17" s="158"/>
      <c r="AK17" s="153">
        <v>11000</v>
      </c>
      <c r="AL17" s="155">
        <v>3932</v>
      </c>
      <c r="AM17" s="153">
        <f>SUM(AO17:AZ17)</f>
        <v>4922</v>
      </c>
      <c r="AN17" s="153">
        <f>AM17/AK17%</f>
        <v>44.745454545454542</v>
      </c>
      <c r="AO17" s="144">
        <v>517</v>
      </c>
      <c r="AP17" s="144">
        <v>823</v>
      </c>
      <c r="AQ17" s="144">
        <v>1075</v>
      </c>
      <c r="AR17" s="144">
        <v>871</v>
      </c>
      <c r="AS17" s="144">
        <v>840</v>
      </c>
      <c r="AT17" s="144">
        <v>796</v>
      </c>
      <c r="AU17" s="145"/>
      <c r="AV17" s="145"/>
      <c r="AW17" s="145"/>
      <c r="AX17" s="145"/>
      <c r="AY17" s="145"/>
      <c r="AZ17" s="145"/>
      <c r="BA17" s="159" t="e">
        <f>+#REF!/(#REF!*182.5)%</f>
        <v>#REF!</v>
      </c>
      <c r="BB17" s="160" t="e">
        <f>+#REF!/(#REF!*182.5)%</f>
        <v>#REF!</v>
      </c>
    </row>
    <row r="18" spans="1:54" ht="22.5" customHeight="1" x14ac:dyDescent="0.25">
      <c r="A18" s="153">
        <v>5</v>
      </c>
      <c r="B18" s="154" t="s">
        <v>9</v>
      </c>
      <c r="C18" s="153">
        <v>14000</v>
      </c>
      <c r="D18" s="155">
        <v>8305</v>
      </c>
      <c r="E18" s="153">
        <f>SUM(G18:R18)</f>
        <v>13300</v>
      </c>
      <c r="F18" s="153">
        <f>E18/C18*100</f>
        <v>95</v>
      </c>
      <c r="G18" s="156">
        <v>1595</v>
      </c>
      <c r="H18" s="156">
        <v>2257</v>
      </c>
      <c r="I18" s="156">
        <v>2169</v>
      </c>
      <c r="J18" s="156">
        <v>2242</v>
      </c>
      <c r="K18" s="156">
        <v>2821</v>
      </c>
      <c r="L18" s="156">
        <v>2216</v>
      </c>
      <c r="M18" s="157"/>
      <c r="N18" s="157"/>
      <c r="O18" s="157"/>
      <c r="P18" s="157"/>
      <c r="Q18" s="157"/>
      <c r="R18" s="157"/>
      <c r="S18" s="158"/>
      <c r="T18" s="153">
        <v>2200</v>
      </c>
      <c r="U18" s="155">
        <v>1356</v>
      </c>
      <c r="V18" s="153">
        <f>SUM(X18:AI18)</f>
        <v>2359</v>
      </c>
      <c r="W18" s="153">
        <f>V18/T18*100</f>
        <v>107.22727272727272</v>
      </c>
      <c r="X18" s="156">
        <v>242</v>
      </c>
      <c r="Y18" s="156">
        <v>364</v>
      </c>
      <c r="Z18" s="156">
        <v>446</v>
      </c>
      <c r="AA18" s="156">
        <v>353</v>
      </c>
      <c r="AB18" s="156">
        <v>444</v>
      </c>
      <c r="AC18" s="156">
        <v>510</v>
      </c>
      <c r="AD18" s="157"/>
      <c r="AE18" s="157"/>
      <c r="AF18" s="157"/>
      <c r="AG18" s="157"/>
      <c r="AH18" s="157"/>
      <c r="AI18" s="157"/>
      <c r="AJ18" s="158"/>
      <c r="AK18" s="153">
        <v>10000</v>
      </c>
      <c r="AL18" s="155">
        <v>6077</v>
      </c>
      <c r="AM18" s="153">
        <f>SUM(AO18:AZ18)</f>
        <v>9754</v>
      </c>
      <c r="AN18" s="153">
        <f>AM18/AK18*100</f>
        <v>97.54</v>
      </c>
      <c r="AO18" s="144">
        <v>1171</v>
      </c>
      <c r="AP18" s="144">
        <v>1801</v>
      </c>
      <c r="AQ18" s="144">
        <v>1660</v>
      </c>
      <c r="AR18" s="144">
        <v>1655</v>
      </c>
      <c r="AS18" s="144">
        <v>1768</v>
      </c>
      <c r="AT18" s="144">
        <v>1699</v>
      </c>
      <c r="AU18" s="145"/>
      <c r="AV18" s="145"/>
      <c r="AW18" s="145"/>
      <c r="AX18" s="145"/>
      <c r="AY18" s="145"/>
      <c r="AZ18" s="145"/>
      <c r="BA18" s="159" t="e">
        <f>+#REF!/(#REF!*182.5)%</f>
        <v>#REF!</v>
      </c>
      <c r="BB18" s="160" t="e">
        <f>+#REF!/(#REF!*182.5)%</f>
        <v>#REF!</v>
      </c>
    </row>
    <row r="19" spans="1:54" ht="22.5" customHeight="1" x14ac:dyDescent="0.25">
      <c r="A19" s="153">
        <v>6</v>
      </c>
      <c r="B19" s="154" t="s">
        <v>10</v>
      </c>
      <c r="C19" s="153">
        <v>13000</v>
      </c>
      <c r="D19" s="155">
        <v>4014</v>
      </c>
      <c r="E19" s="153">
        <f>SUM(G19:R19)</f>
        <v>8849</v>
      </c>
      <c r="F19" s="153">
        <f>E19/C19%</f>
        <v>68.069230769230771</v>
      </c>
      <c r="G19" s="156">
        <v>575</v>
      </c>
      <c r="H19" s="156">
        <v>1253</v>
      </c>
      <c r="I19" s="156">
        <v>3321</v>
      </c>
      <c r="J19" s="156">
        <v>1425</v>
      </c>
      <c r="K19" s="156">
        <v>1449</v>
      </c>
      <c r="L19" s="156">
        <v>826</v>
      </c>
      <c r="M19" s="157"/>
      <c r="N19" s="157"/>
      <c r="O19" s="157"/>
      <c r="P19" s="157"/>
      <c r="Q19" s="157"/>
      <c r="R19" s="157"/>
      <c r="S19" s="158"/>
      <c r="T19" s="153">
        <v>1500</v>
      </c>
      <c r="U19" s="155">
        <v>431</v>
      </c>
      <c r="V19" s="153">
        <f>SUM(X19:AI19)</f>
        <v>633</v>
      </c>
      <c r="W19" s="153">
        <f>V19/T19%</f>
        <v>42.2</v>
      </c>
      <c r="X19" s="156">
        <v>88</v>
      </c>
      <c r="Y19" s="156">
        <v>81</v>
      </c>
      <c r="Z19" s="156">
        <v>120</v>
      </c>
      <c r="AA19" s="156">
        <v>138</v>
      </c>
      <c r="AB19" s="156">
        <v>126</v>
      </c>
      <c r="AC19" s="156">
        <v>80</v>
      </c>
      <c r="AD19" s="157"/>
      <c r="AE19" s="157"/>
      <c r="AF19" s="157"/>
      <c r="AG19" s="157"/>
      <c r="AH19" s="157"/>
      <c r="AI19" s="157"/>
      <c r="AJ19" s="158"/>
      <c r="AK19" s="153">
        <v>9500</v>
      </c>
      <c r="AL19" s="155">
        <v>2662</v>
      </c>
      <c r="AM19" s="153">
        <f>SUM(AO19:AZ19)</f>
        <v>3389</v>
      </c>
      <c r="AN19" s="153">
        <f>AM19/AK19%</f>
        <v>35.673684210526318</v>
      </c>
      <c r="AO19" s="144">
        <v>381</v>
      </c>
      <c r="AP19" s="144">
        <v>552</v>
      </c>
      <c r="AQ19" s="144">
        <v>667</v>
      </c>
      <c r="AR19" s="144">
        <v>663</v>
      </c>
      <c r="AS19" s="144">
        <v>613</v>
      </c>
      <c r="AT19" s="144">
        <v>513</v>
      </c>
      <c r="AU19" s="145"/>
      <c r="AV19" s="145"/>
      <c r="AW19" s="145"/>
      <c r="AX19" s="145"/>
      <c r="AY19" s="145"/>
      <c r="AZ19" s="145"/>
      <c r="BA19" s="159" t="e">
        <f>+#REF!/(#REF!*182.5)%</f>
        <v>#REF!</v>
      </c>
      <c r="BB19" s="160" t="e">
        <f>+#REF!/(#REF!*182.5)%</f>
        <v>#REF!</v>
      </c>
    </row>
    <row r="20" spans="1:54" ht="22.5" customHeight="1" x14ac:dyDescent="0.25">
      <c r="A20" s="153">
        <v>7</v>
      </c>
      <c r="B20" s="154" t="s">
        <v>65</v>
      </c>
      <c r="C20" s="153">
        <v>2100</v>
      </c>
      <c r="D20" s="155">
        <v>815</v>
      </c>
      <c r="E20" s="153">
        <f>SUM(G20:R20)</f>
        <v>883</v>
      </c>
      <c r="F20" s="153">
        <f>E20/C20*100</f>
        <v>42.047619047619051</v>
      </c>
      <c r="G20" s="156">
        <v>92</v>
      </c>
      <c r="H20" s="156">
        <v>132</v>
      </c>
      <c r="I20" s="156">
        <v>179</v>
      </c>
      <c r="J20" s="156">
        <v>194</v>
      </c>
      <c r="K20" s="156">
        <v>158</v>
      </c>
      <c r="L20" s="156">
        <v>128</v>
      </c>
      <c r="M20" s="157"/>
      <c r="N20" s="157"/>
      <c r="O20" s="157"/>
      <c r="P20" s="157"/>
      <c r="Q20" s="157"/>
      <c r="R20" s="157"/>
      <c r="S20" s="158"/>
      <c r="T20" s="153">
        <v>100</v>
      </c>
      <c r="U20" s="155">
        <v>15</v>
      </c>
      <c r="V20" s="153">
        <f>SUM(X20:AI20)</f>
        <v>31</v>
      </c>
      <c r="W20" s="153">
        <f>V20/T20*100</f>
        <v>31</v>
      </c>
      <c r="X20" s="156">
        <v>2</v>
      </c>
      <c r="Y20" s="156">
        <v>1</v>
      </c>
      <c r="Z20" s="156">
        <v>9</v>
      </c>
      <c r="AA20" s="156">
        <v>10</v>
      </c>
      <c r="AB20" s="156">
        <v>5</v>
      </c>
      <c r="AC20" s="156">
        <v>4</v>
      </c>
      <c r="AD20" s="157"/>
      <c r="AE20" s="157"/>
      <c r="AF20" s="157"/>
      <c r="AG20" s="157"/>
      <c r="AH20" s="157"/>
      <c r="AI20" s="157"/>
      <c r="AJ20" s="158"/>
      <c r="AK20" s="153">
        <v>1300</v>
      </c>
      <c r="AL20" s="155">
        <v>229</v>
      </c>
      <c r="AM20" s="153">
        <f>SUM(AO20:AZ20)</f>
        <v>427</v>
      </c>
      <c r="AN20" s="153">
        <f>AM20/AK20*100</f>
        <v>32.846153846153847</v>
      </c>
      <c r="AO20" s="144">
        <v>48</v>
      </c>
      <c r="AP20" s="144">
        <v>59</v>
      </c>
      <c r="AQ20" s="144">
        <v>113</v>
      </c>
      <c r="AR20" s="144">
        <v>67</v>
      </c>
      <c r="AS20" s="144">
        <v>73</v>
      </c>
      <c r="AT20" s="144">
        <v>67</v>
      </c>
      <c r="AU20" s="145"/>
      <c r="AV20" s="145"/>
      <c r="AW20" s="145"/>
      <c r="AX20" s="145"/>
      <c r="AY20" s="145"/>
      <c r="AZ20" s="145"/>
      <c r="BA20" s="159" t="e">
        <f>+#REF!/(#REF!*182.5)%</f>
        <v>#REF!</v>
      </c>
      <c r="BB20" s="160" t="e">
        <f>+#REF!/(#REF!*182.5)%</f>
        <v>#REF!</v>
      </c>
    </row>
    <row r="21" spans="1:54" ht="22.5" customHeight="1" x14ac:dyDescent="0.25">
      <c r="A21" s="153">
        <v>8</v>
      </c>
      <c r="B21" s="154" t="s">
        <v>15</v>
      </c>
      <c r="C21" s="153">
        <v>6000</v>
      </c>
      <c r="D21" s="157">
        <v>2064</v>
      </c>
      <c r="E21" s="153">
        <f>G21+H21+I21+J21+K21+L21+M21+N21+O21+P21+Q21+R21</f>
        <v>2467</v>
      </c>
      <c r="F21" s="153">
        <f>E21/C21*100</f>
        <v>41.116666666666667</v>
      </c>
      <c r="G21" s="156">
        <v>492</v>
      </c>
      <c r="H21" s="156">
        <v>286</v>
      </c>
      <c r="I21" s="156">
        <v>473</v>
      </c>
      <c r="J21" s="156">
        <v>398</v>
      </c>
      <c r="K21" s="156">
        <v>382</v>
      </c>
      <c r="L21" s="156">
        <v>436</v>
      </c>
      <c r="M21" s="157"/>
      <c r="N21" s="157"/>
      <c r="O21" s="157"/>
      <c r="P21" s="157"/>
      <c r="Q21" s="157"/>
      <c r="R21" s="157"/>
      <c r="S21" s="158"/>
      <c r="T21" s="153">
        <v>800</v>
      </c>
      <c r="U21" s="155">
        <v>148</v>
      </c>
      <c r="V21" s="153">
        <f>X21+Y21+Z21+AA21+AB21+AC21+AD21+AE21+AF21+AG21+AH21+AI21</f>
        <v>233</v>
      </c>
      <c r="W21" s="153">
        <f>V21/T21*100</f>
        <v>29.125</v>
      </c>
      <c r="X21" s="156">
        <v>51</v>
      </c>
      <c r="Y21" s="156">
        <v>17</v>
      </c>
      <c r="Z21" s="156">
        <v>41</v>
      </c>
      <c r="AA21" s="156">
        <v>39</v>
      </c>
      <c r="AB21" s="156">
        <v>37</v>
      </c>
      <c r="AC21" s="156">
        <v>48</v>
      </c>
      <c r="AD21" s="157"/>
      <c r="AE21" s="157"/>
      <c r="AF21" s="157"/>
      <c r="AG21" s="157"/>
      <c r="AH21" s="157"/>
      <c r="AI21" s="157"/>
      <c r="AJ21" s="158"/>
      <c r="AK21" s="153">
        <v>5000</v>
      </c>
      <c r="AL21" s="155">
        <v>1903</v>
      </c>
      <c r="AM21" s="153">
        <f>AO21+AP21+AQ21+AR21+AS21+AT21+AU21+AV21+AW21+AX21+AY21+AZ21</f>
        <v>2230</v>
      </c>
      <c r="AN21" s="153">
        <f>AM21/AK21*100</f>
        <v>44.6</v>
      </c>
      <c r="AO21" s="144">
        <v>438</v>
      </c>
      <c r="AP21" s="144">
        <v>269</v>
      </c>
      <c r="AQ21" s="144">
        <v>431</v>
      </c>
      <c r="AR21" s="144">
        <v>359</v>
      </c>
      <c r="AS21" s="144">
        <v>345</v>
      </c>
      <c r="AT21" s="144">
        <v>388</v>
      </c>
      <c r="AU21" s="145"/>
      <c r="AV21" s="145"/>
      <c r="AW21" s="145"/>
      <c r="AX21" s="145"/>
      <c r="AY21" s="145"/>
      <c r="AZ21" s="145"/>
      <c r="BA21" s="159" t="e">
        <f>+#REF!/(#REF!*182.5)%</f>
        <v>#REF!</v>
      </c>
      <c r="BB21" s="160" t="e">
        <f>+#REF!/(#REF!*182.5)%</f>
        <v>#REF!</v>
      </c>
    </row>
    <row r="22" spans="1:54" ht="27" customHeight="1" x14ac:dyDescent="0.25"/>
    <row r="23" spans="1:54" ht="27" customHeight="1" x14ac:dyDescent="0.25"/>
    <row r="24" spans="1:54" ht="27" customHeight="1" x14ac:dyDescent="0.25"/>
    <row r="25" spans="1:54" ht="27" customHeight="1" x14ac:dyDescent="0.25"/>
  </sheetData>
  <mergeCells count="26">
    <mergeCell ref="A1:BA1"/>
    <mergeCell ref="A2:BA2"/>
    <mergeCell ref="A3:A6"/>
    <mergeCell ref="B3:B6"/>
    <mergeCell ref="C3:AZ3"/>
    <mergeCell ref="BA3:BB5"/>
    <mergeCell ref="C4:S4"/>
    <mergeCell ref="AM5:AM6"/>
    <mergeCell ref="AO5:AZ5"/>
    <mergeCell ref="S5:S6"/>
    <mergeCell ref="T5:T6"/>
    <mergeCell ref="U5:U6"/>
    <mergeCell ref="V5:V6"/>
    <mergeCell ref="X5:AI5"/>
    <mergeCell ref="AJ5:AJ6"/>
    <mergeCell ref="AN5:AN6"/>
    <mergeCell ref="T4:AJ4"/>
    <mergeCell ref="AK4:AZ4"/>
    <mergeCell ref="E5:E6"/>
    <mergeCell ref="G5:R5"/>
    <mergeCell ref="AL5:AL6"/>
    <mergeCell ref="C5:C6"/>
    <mergeCell ref="D5:D6"/>
    <mergeCell ref="F5:F6"/>
    <mergeCell ref="W5:W6"/>
    <mergeCell ref="AK5:AK6"/>
  </mergeCells>
  <pageMargins left="0.2" right="0.2" top="0.52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41"/>
  <sheetViews>
    <sheetView workbookViewId="0">
      <pane xSplit="2" ySplit="7" topLeftCell="O8" activePane="bottomRight" state="frozen"/>
      <selection pane="topRight" activeCell="C1" sqref="C1"/>
      <selection pane="bottomLeft" activeCell="A8" sqref="A8"/>
      <selection pane="bottomRight" activeCell="Y7" sqref="Y7"/>
    </sheetView>
  </sheetViews>
  <sheetFormatPr defaultRowHeight="15" x14ac:dyDescent="0.2"/>
  <cols>
    <col min="1" max="1" width="4.42578125" style="7" customWidth="1"/>
    <col min="2" max="2" width="19.85546875" style="7" customWidth="1"/>
    <col min="3" max="4" width="7.85546875" style="7" customWidth="1"/>
    <col min="5" max="5" width="9" style="7" customWidth="1"/>
    <col min="6" max="6" width="12.85546875" style="7" customWidth="1"/>
    <col min="7" max="7" width="11.5703125" style="7" customWidth="1"/>
    <col min="8" max="8" width="11.42578125" style="4" customWidth="1"/>
    <col min="9" max="20" width="11.5703125" style="4" customWidth="1"/>
    <col min="21" max="21" width="8.42578125" style="34" hidden="1" customWidth="1"/>
    <col min="22" max="22" width="9.5703125" style="7" bestFit="1" customWidth="1"/>
    <col min="23" max="23" width="11.5703125" style="7" customWidth="1"/>
    <col min="24" max="24" width="10.7109375" style="4" customWidth="1"/>
    <col min="25" max="36" width="11.5703125" style="4" customWidth="1"/>
    <col min="37" max="37" width="8.42578125" style="34" hidden="1" customWidth="1"/>
    <col min="38" max="38" width="10.7109375" style="7" bestFit="1" customWidth="1"/>
    <col min="39" max="39" width="11.5703125" style="7" customWidth="1"/>
    <col min="40" max="40" width="10.7109375" style="4" customWidth="1"/>
    <col min="41" max="51" width="11.5703125" style="4" customWidth="1"/>
    <col min="52" max="52" width="11.85546875" style="4" customWidth="1"/>
    <col min="53" max="53" width="8.42578125" style="34" hidden="1" customWidth="1"/>
    <col min="54" max="54" width="10.28515625" style="35" customWidth="1"/>
    <col min="55" max="56" width="9.28515625" style="36" hidden="1" customWidth="1"/>
    <col min="57" max="58" width="9.7109375" style="36" customWidth="1"/>
    <col min="59" max="16384" width="9.140625" style="4"/>
  </cols>
  <sheetData>
    <row r="1" spans="1:95" ht="15.75" x14ac:dyDescent="0.2">
      <c r="A1" s="398" t="s">
        <v>57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7"/>
      <c r="BE1" s="7"/>
      <c r="BF1" s="7"/>
    </row>
    <row r="2" spans="1:95" ht="33" customHeight="1" x14ac:dyDescent="0.2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7"/>
      <c r="BE2" s="7"/>
      <c r="BF2" s="7"/>
    </row>
    <row r="3" spans="1:95" s="19" customFormat="1" ht="23.25" customHeight="1" x14ac:dyDescent="0.25">
      <c r="A3" s="393" t="s">
        <v>32</v>
      </c>
      <c r="B3" s="393" t="s">
        <v>33</v>
      </c>
      <c r="C3" s="400" t="s">
        <v>39</v>
      </c>
      <c r="D3" s="401"/>
      <c r="E3" s="402"/>
      <c r="F3" s="393" t="s">
        <v>35</v>
      </c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0" t="s">
        <v>52</v>
      </c>
      <c r="BC3" s="409" t="s">
        <v>38</v>
      </c>
      <c r="BD3" s="410"/>
      <c r="BE3" s="390" t="s">
        <v>53</v>
      </c>
      <c r="BF3" s="390" t="s">
        <v>54</v>
      </c>
    </row>
    <row r="4" spans="1:95" s="19" customFormat="1" ht="23.25" customHeight="1" x14ac:dyDescent="0.25">
      <c r="A4" s="393"/>
      <c r="B4" s="393"/>
      <c r="C4" s="403"/>
      <c r="D4" s="404"/>
      <c r="E4" s="405"/>
      <c r="F4" s="390" t="s">
        <v>34</v>
      </c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 t="s">
        <v>36</v>
      </c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 t="s">
        <v>37</v>
      </c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411"/>
      <c r="BD4" s="412"/>
      <c r="BE4" s="390"/>
      <c r="BF4" s="390"/>
    </row>
    <row r="5" spans="1:95" s="19" customFormat="1" ht="23.25" customHeight="1" x14ac:dyDescent="0.25">
      <c r="A5" s="393"/>
      <c r="B5" s="393"/>
      <c r="C5" s="413" t="s">
        <v>13</v>
      </c>
      <c r="D5" s="413"/>
      <c r="E5" s="413" t="s">
        <v>16</v>
      </c>
      <c r="F5" s="391" t="s">
        <v>13</v>
      </c>
      <c r="G5" s="391" t="s">
        <v>40</v>
      </c>
      <c r="H5" s="391" t="s">
        <v>30</v>
      </c>
      <c r="I5" s="406" t="s">
        <v>31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8"/>
      <c r="U5" s="396" t="s">
        <v>14</v>
      </c>
      <c r="V5" s="391" t="s">
        <v>13</v>
      </c>
      <c r="W5" s="391" t="s">
        <v>40</v>
      </c>
      <c r="X5" s="391" t="s">
        <v>30</v>
      </c>
      <c r="Y5" s="406" t="s">
        <v>31</v>
      </c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8"/>
      <c r="AK5" s="396" t="s">
        <v>14</v>
      </c>
      <c r="AL5" s="391" t="s">
        <v>13</v>
      </c>
      <c r="AM5" s="391" t="s">
        <v>40</v>
      </c>
      <c r="AN5" s="391" t="s">
        <v>30</v>
      </c>
      <c r="AO5" s="406" t="s">
        <v>31</v>
      </c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8"/>
      <c r="BA5" s="396" t="s">
        <v>14</v>
      </c>
      <c r="BB5" s="390"/>
      <c r="BC5" s="411"/>
      <c r="BD5" s="412"/>
      <c r="BE5" s="390"/>
      <c r="BF5" s="390"/>
    </row>
    <row r="6" spans="1:95" s="19" customFormat="1" ht="23.25" customHeight="1" x14ac:dyDescent="0.25">
      <c r="A6" s="393"/>
      <c r="B6" s="393"/>
      <c r="C6" s="414"/>
      <c r="D6" s="414"/>
      <c r="E6" s="414"/>
      <c r="F6" s="392"/>
      <c r="G6" s="392"/>
      <c r="H6" s="392"/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5" t="s">
        <v>24</v>
      </c>
      <c r="P6" s="5" t="s">
        <v>25</v>
      </c>
      <c r="Q6" s="5" t="s">
        <v>26</v>
      </c>
      <c r="R6" s="5" t="s">
        <v>27</v>
      </c>
      <c r="S6" s="5" t="s">
        <v>28</v>
      </c>
      <c r="T6" s="5" t="s">
        <v>29</v>
      </c>
      <c r="U6" s="397"/>
      <c r="V6" s="392"/>
      <c r="W6" s="392"/>
      <c r="X6" s="392"/>
      <c r="Y6" s="5" t="s">
        <v>18</v>
      </c>
      <c r="Z6" s="5" t="s">
        <v>19</v>
      </c>
      <c r="AA6" s="5" t="s">
        <v>20</v>
      </c>
      <c r="AB6" s="5" t="s">
        <v>21</v>
      </c>
      <c r="AC6" s="5" t="s">
        <v>22</v>
      </c>
      <c r="AD6" s="5" t="s">
        <v>23</v>
      </c>
      <c r="AE6" s="5" t="s">
        <v>24</v>
      </c>
      <c r="AF6" s="5" t="s">
        <v>25</v>
      </c>
      <c r="AG6" s="5" t="s">
        <v>26</v>
      </c>
      <c r="AH6" s="5" t="s">
        <v>27</v>
      </c>
      <c r="AI6" s="5" t="s">
        <v>28</v>
      </c>
      <c r="AJ6" s="5" t="s">
        <v>29</v>
      </c>
      <c r="AK6" s="397"/>
      <c r="AL6" s="392"/>
      <c r="AM6" s="392"/>
      <c r="AN6" s="392"/>
      <c r="AO6" s="5" t="s">
        <v>18</v>
      </c>
      <c r="AP6" s="5" t="s">
        <v>19</v>
      </c>
      <c r="AQ6" s="5" t="s">
        <v>20</v>
      </c>
      <c r="AR6" s="5" t="s">
        <v>21</v>
      </c>
      <c r="AS6" s="5" t="s">
        <v>22</v>
      </c>
      <c r="AT6" s="5" t="s">
        <v>23</v>
      </c>
      <c r="AU6" s="5" t="s">
        <v>24</v>
      </c>
      <c r="AV6" s="5" t="s">
        <v>25</v>
      </c>
      <c r="AW6" s="5" t="s">
        <v>26</v>
      </c>
      <c r="AX6" s="5" t="s">
        <v>27</v>
      </c>
      <c r="AY6" s="5" t="s">
        <v>28</v>
      </c>
      <c r="AZ6" s="5" t="s">
        <v>29</v>
      </c>
      <c r="BA6" s="397"/>
      <c r="BB6" s="390"/>
      <c r="BC6" s="20" t="s">
        <v>13</v>
      </c>
      <c r="BD6" s="20" t="s">
        <v>16</v>
      </c>
      <c r="BE6" s="391"/>
      <c r="BF6" s="391"/>
    </row>
    <row r="7" spans="1:95" s="23" customFormat="1" ht="24" customHeight="1" x14ac:dyDescent="0.55000000000000004">
      <c r="A7" s="39"/>
      <c r="B7" s="39" t="s">
        <v>17</v>
      </c>
      <c r="C7" s="40">
        <f>C8+C12</f>
        <v>1250</v>
      </c>
      <c r="D7" s="40">
        <f>D8+D12</f>
        <v>1140</v>
      </c>
      <c r="E7" s="40">
        <f t="shared" ref="E7:BB7" si="0">E8+E12</f>
        <v>1626</v>
      </c>
      <c r="F7" s="40">
        <f t="shared" si="0"/>
        <v>1111200</v>
      </c>
      <c r="G7" s="40">
        <f t="shared" si="0"/>
        <v>590678</v>
      </c>
      <c r="H7" s="40">
        <f t="shared" si="0"/>
        <v>1014929</v>
      </c>
      <c r="I7" s="40">
        <f t="shared" si="0"/>
        <v>72009</v>
      </c>
      <c r="J7" s="40">
        <f t="shared" si="0"/>
        <v>71480</v>
      </c>
      <c r="K7" s="40">
        <f t="shared" si="0"/>
        <v>88087</v>
      </c>
      <c r="L7" s="40">
        <f t="shared" si="0"/>
        <v>97941</v>
      </c>
      <c r="M7" s="40">
        <f t="shared" si="0"/>
        <v>87837</v>
      </c>
      <c r="N7" s="40">
        <f t="shared" si="0"/>
        <v>88243</v>
      </c>
      <c r="O7" s="40">
        <f t="shared" si="0"/>
        <v>84472</v>
      </c>
      <c r="P7" s="40">
        <f t="shared" si="0"/>
        <v>75872</v>
      </c>
      <c r="Q7" s="40">
        <f t="shared" si="0"/>
        <v>87467</v>
      </c>
      <c r="R7" s="40">
        <f t="shared" si="0"/>
        <v>94530</v>
      </c>
      <c r="S7" s="40">
        <f t="shared" si="0"/>
        <v>84649</v>
      </c>
      <c r="T7" s="40">
        <f t="shared" si="0"/>
        <v>82342</v>
      </c>
      <c r="U7" s="40">
        <f t="shared" si="0"/>
        <v>89.157549019607842</v>
      </c>
      <c r="V7" s="40">
        <f t="shared" si="0"/>
        <v>62050</v>
      </c>
      <c r="W7" s="40">
        <f t="shared" si="0"/>
        <v>31745</v>
      </c>
      <c r="X7" s="40" t="e">
        <f t="shared" si="0"/>
        <v>#REF!</v>
      </c>
      <c r="Y7" s="40" t="e">
        <f t="shared" si="0"/>
        <v>#REF!</v>
      </c>
      <c r="Z7" s="40" t="e">
        <f t="shared" si="0"/>
        <v>#REF!</v>
      </c>
      <c r="AA7" s="40" t="e">
        <f t="shared" si="0"/>
        <v>#REF!</v>
      </c>
      <c r="AB7" s="40" t="e">
        <f t="shared" si="0"/>
        <v>#REF!</v>
      </c>
      <c r="AC7" s="40" t="e">
        <f t="shared" si="0"/>
        <v>#REF!</v>
      </c>
      <c r="AD7" s="40" t="e">
        <f t="shared" si="0"/>
        <v>#REF!</v>
      </c>
      <c r="AE7" s="40" t="e">
        <f t="shared" si="0"/>
        <v>#REF!</v>
      </c>
      <c r="AF7" s="40" t="e">
        <f t="shared" si="0"/>
        <v>#REF!</v>
      </c>
      <c r="AG7" s="40" t="e">
        <f t="shared" si="0"/>
        <v>#REF!</v>
      </c>
      <c r="AH7" s="40" t="e">
        <f t="shared" si="0"/>
        <v>#REF!</v>
      </c>
      <c r="AI7" s="40">
        <f t="shared" si="0"/>
        <v>6578</v>
      </c>
      <c r="AJ7" s="40">
        <f t="shared" si="0"/>
        <v>6169</v>
      </c>
      <c r="AK7" s="40" t="e">
        <f t="shared" si="0"/>
        <v>#REF!</v>
      </c>
      <c r="AL7" s="40">
        <f t="shared" si="0"/>
        <v>677700</v>
      </c>
      <c r="AM7" s="40">
        <f t="shared" si="0"/>
        <v>364828</v>
      </c>
      <c r="AN7" s="40">
        <f t="shared" si="0"/>
        <v>682502</v>
      </c>
      <c r="AO7" s="40">
        <f t="shared" si="0"/>
        <v>49206</v>
      </c>
      <c r="AP7" s="40">
        <f t="shared" si="0"/>
        <v>44016</v>
      </c>
      <c r="AQ7" s="40">
        <f t="shared" si="0"/>
        <v>51917</v>
      </c>
      <c r="AR7" s="40">
        <f t="shared" si="0"/>
        <v>61628</v>
      </c>
      <c r="AS7" s="40">
        <f t="shared" si="0"/>
        <v>53329</v>
      </c>
      <c r="AT7" s="40">
        <f t="shared" si="0"/>
        <v>55417</v>
      </c>
      <c r="AU7" s="40">
        <f t="shared" si="0"/>
        <v>51786</v>
      </c>
      <c r="AV7" s="40">
        <f t="shared" si="0"/>
        <v>43813</v>
      </c>
      <c r="AW7" s="40">
        <f t="shared" si="0"/>
        <v>53187</v>
      </c>
      <c r="AX7" s="40">
        <f t="shared" si="0"/>
        <v>60144</v>
      </c>
      <c r="AY7" s="40">
        <f t="shared" si="0"/>
        <v>54086</v>
      </c>
      <c r="AZ7" s="40">
        <f t="shared" si="0"/>
        <v>50340</v>
      </c>
      <c r="BA7" s="40">
        <f t="shared" si="0"/>
        <v>98.618566775244304</v>
      </c>
      <c r="BB7" s="40">
        <f t="shared" si="0"/>
        <v>526715.19999999995</v>
      </c>
      <c r="BC7" s="21">
        <f t="shared" ref="BC7:BC20" si="1">+BB7/(C7*365)%</f>
        <v>115.44442739726027</v>
      </c>
      <c r="BD7" s="22">
        <f t="shared" ref="BD7:BD20" si="2">+BB7/(E7*365)%</f>
        <v>88.748791049554328</v>
      </c>
      <c r="BE7" s="21">
        <f>BB7/(C7*365)*100</f>
        <v>115.44442739726026</v>
      </c>
      <c r="BF7" s="21">
        <f>BB7/(E7*365)*100</f>
        <v>88.748791049554328</v>
      </c>
    </row>
    <row r="8" spans="1:95" s="38" customFormat="1" ht="24" customHeight="1" x14ac:dyDescent="0.35">
      <c r="A8" s="41" t="s">
        <v>11</v>
      </c>
      <c r="B8" s="42" t="s">
        <v>0</v>
      </c>
      <c r="C8" s="43">
        <f>SUM(C9:C11)</f>
        <v>500</v>
      </c>
      <c r="D8" s="43">
        <f>SUM(D9:D11)</f>
        <v>460</v>
      </c>
      <c r="E8" s="43">
        <f t="shared" ref="E8:BB8" si="3">SUM(E9:E11)</f>
        <v>679</v>
      </c>
      <c r="F8" s="43">
        <f t="shared" si="3"/>
        <v>91200</v>
      </c>
      <c r="G8" s="43">
        <f t="shared" si="3"/>
        <v>41976</v>
      </c>
      <c r="H8" s="43">
        <f t="shared" si="3"/>
        <v>105522</v>
      </c>
      <c r="I8" s="43">
        <f t="shared" si="3"/>
        <v>6053</v>
      </c>
      <c r="J8" s="43">
        <f t="shared" si="3"/>
        <v>6701</v>
      </c>
      <c r="K8" s="43">
        <f t="shared" si="3"/>
        <v>7982</v>
      </c>
      <c r="L8" s="43">
        <f t="shared" si="3"/>
        <v>9086</v>
      </c>
      <c r="M8" s="43">
        <f t="shared" si="3"/>
        <v>9133</v>
      </c>
      <c r="N8" s="43">
        <f t="shared" si="3"/>
        <v>9277</v>
      </c>
      <c r="O8" s="43">
        <f t="shared" si="3"/>
        <v>8962</v>
      </c>
      <c r="P8" s="43">
        <f t="shared" si="3"/>
        <v>10345</v>
      </c>
      <c r="Q8" s="43">
        <f t="shared" si="3"/>
        <v>9915</v>
      </c>
      <c r="R8" s="43">
        <f t="shared" si="3"/>
        <v>9356</v>
      </c>
      <c r="S8" s="43">
        <f t="shared" si="3"/>
        <v>9356</v>
      </c>
      <c r="T8" s="43">
        <f t="shared" si="3"/>
        <v>9356</v>
      </c>
      <c r="U8" s="43">
        <f t="shared" si="3"/>
        <v>0</v>
      </c>
      <c r="V8" s="43">
        <f t="shared" si="3"/>
        <v>22200</v>
      </c>
      <c r="W8" s="43">
        <f t="shared" si="3"/>
        <v>4086</v>
      </c>
      <c r="X8" s="43">
        <f t="shared" si="3"/>
        <v>28326</v>
      </c>
      <c r="Y8" s="43">
        <f t="shared" si="3"/>
        <v>1614</v>
      </c>
      <c r="Z8" s="43">
        <f t="shared" si="3"/>
        <v>1812</v>
      </c>
      <c r="AA8" s="43">
        <f t="shared" si="3"/>
        <v>2149</v>
      </c>
      <c r="AB8" s="43">
        <f t="shared" si="3"/>
        <v>2181</v>
      </c>
      <c r="AC8" s="43">
        <f t="shared" si="3"/>
        <v>2258</v>
      </c>
      <c r="AD8" s="43">
        <f t="shared" si="3"/>
        <v>2345</v>
      </c>
      <c r="AE8" s="43">
        <f t="shared" si="3"/>
        <v>2421</v>
      </c>
      <c r="AF8" s="43">
        <f t="shared" si="3"/>
        <v>2775</v>
      </c>
      <c r="AG8" s="43">
        <f t="shared" si="3"/>
        <v>2677</v>
      </c>
      <c r="AH8" s="43">
        <f t="shared" si="3"/>
        <v>2698</v>
      </c>
      <c r="AI8" s="43">
        <f t="shared" si="3"/>
        <v>2698</v>
      </c>
      <c r="AJ8" s="43">
        <f t="shared" si="3"/>
        <v>2698</v>
      </c>
      <c r="AK8" s="43">
        <f t="shared" si="3"/>
        <v>168</v>
      </c>
      <c r="AL8" s="43">
        <f t="shared" si="3"/>
        <v>63700</v>
      </c>
      <c r="AM8" s="43">
        <f t="shared" si="3"/>
        <v>2773</v>
      </c>
      <c r="AN8" s="43">
        <f t="shared" si="3"/>
        <v>76984</v>
      </c>
      <c r="AO8" s="43">
        <f t="shared" si="3"/>
        <v>4442</v>
      </c>
      <c r="AP8" s="43">
        <f t="shared" si="3"/>
        <v>4925</v>
      </c>
      <c r="AQ8" s="43">
        <f t="shared" si="3"/>
        <v>5785</v>
      </c>
      <c r="AR8" s="43">
        <f t="shared" si="3"/>
        <v>6899</v>
      </c>
      <c r="AS8" s="43">
        <f t="shared" si="3"/>
        <v>6844</v>
      </c>
      <c r="AT8" s="43">
        <f t="shared" si="3"/>
        <v>6894</v>
      </c>
      <c r="AU8" s="43">
        <f t="shared" si="3"/>
        <v>6523</v>
      </c>
      <c r="AV8" s="43">
        <f t="shared" si="3"/>
        <v>7547</v>
      </c>
      <c r="AW8" s="43">
        <f t="shared" si="3"/>
        <v>7238</v>
      </c>
      <c r="AX8" s="43">
        <f t="shared" si="3"/>
        <v>6629</v>
      </c>
      <c r="AY8" s="43">
        <f t="shared" si="3"/>
        <v>6629</v>
      </c>
      <c r="AZ8" s="43">
        <f t="shared" si="3"/>
        <v>6629</v>
      </c>
      <c r="BA8" s="43">
        <f t="shared" si="3"/>
        <v>0</v>
      </c>
      <c r="BB8" s="43">
        <f t="shared" si="3"/>
        <v>203971.20000000001</v>
      </c>
      <c r="BC8" s="37">
        <f t="shared" si="1"/>
        <v>111.76504109589041</v>
      </c>
      <c r="BD8" s="37">
        <f t="shared" si="2"/>
        <v>82.301208465309585</v>
      </c>
      <c r="BE8" s="21">
        <f t="shared" ref="BE8:BE20" si="4">BB8/(C8*365)*100</f>
        <v>111.76504109589042</v>
      </c>
      <c r="BF8" s="21">
        <f t="shared" ref="BF8:BF20" si="5">BB8/(E8*365)*100</f>
        <v>82.301208465309585</v>
      </c>
    </row>
    <row r="9" spans="1:95" ht="24" customHeight="1" x14ac:dyDescent="0.2">
      <c r="A9" s="47">
        <v>1</v>
      </c>
      <c r="B9" s="48" t="s">
        <v>1</v>
      </c>
      <c r="C9" s="47">
        <v>370</v>
      </c>
      <c r="D9" s="47">
        <v>340</v>
      </c>
      <c r="E9" s="47">
        <v>539</v>
      </c>
      <c r="F9" s="47">
        <v>82000</v>
      </c>
      <c r="G9" s="53">
        <v>37196</v>
      </c>
      <c r="H9" s="52">
        <f>SUM(I9:T9)</f>
        <v>95924</v>
      </c>
      <c r="I9" s="53">
        <v>5469</v>
      </c>
      <c r="J9" s="53">
        <v>6085</v>
      </c>
      <c r="K9" s="53">
        <v>7183</v>
      </c>
      <c r="L9" s="53">
        <v>8162</v>
      </c>
      <c r="M9" s="53">
        <v>8193</v>
      </c>
      <c r="N9" s="53">
        <v>8383</v>
      </c>
      <c r="O9" s="53">
        <v>8197</v>
      </c>
      <c r="P9" s="53">
        <v>9363</v>
      </c>
      <c r="Q9" s="61">
        <v>9185</v>
      </c>
      <c r="R9" s="53">
        <v>8568</v>
      </c>
      <c r="S9" s="53">
        <f t="shared" ref="S9:T11" si="6">R9</f>
        <v>8568</v>
      </c>
      <c r="T9" s="53">
        <f t="shared" si="6"/>
        <v>8568</v>
      </c>
      <c r="U9" s="24"/>
      <c r="V9" s="47">
        <v>19200</v>
      </c>
      <c r="W9" s="53">
        <v>2235</v>
      </c>
      <c r="X9" s="52">
        <f>SUM(Y9:AJ9)</f>
        <v>24530</v>
      </c>
      <c r="Y9" s="53">
        <v>1332</v>
      </c>
      <c r="Z9" s="53">
        <v>1620</v>
      </c>
      <c r="AA9" s="53">
        <v>1847</v>
      </c>
      <c r="AB9" s="53">
        <v>1804</v>
      </c>
      <c r="AC9" s="53">
        <v>1882</v>
      </c>
      <c r="AD9" s="53">
        <v>2037</v>
      </c>
      <c r="AE9" s="53">
        <v>2101</v>
      </c>
      <c r="AF9" s="53">
        <v>2359</v>
      </c>
      <c r="AG9" s="53">
        <v>2351</v>
      </c>
      <c r="AH9" s="53">
        <v>2399</v>
      </c>
      <c r="AI9" s="53">
        <f t="shared" ref="AI9:AJ11" si="7">AH9</f>
        <v>2399</v>
      </c>
      <c r="AJ9" s="53">
        <f t="shared" si="7"/>
        <v>2399</v>
      </c>
      <c r="AK9" s="24"/>
      <c r="AL9" s="53">
        <v>60000</v>
      </c>
      <c r="AM9" s="53">
        <v>44</v>
      </c>
      <c r="AN9" s="52">
        <f>SUM(AO9:AZ9)</f>
        <v>71394</v>
      </c>
      <c r="AO9" s="53">
        <v>4137</v>
      </c>
      <c r="AP9" s="53">
        <v>4465</v>
      </c>
      <c r="AQ9" s="53">
        <v>5336</v>
      </c>
      <c r="AR9" s="53">
        <v>6358</v>
      </c>
      <c r="AS9" s="53">
        <v>6311</v>
      </c>
      <c r="AT9" s="53">
        <v>6346</v>
      </c>
      <c r="AU9" s="53">
        <v>6096</v>
      </c>
      <c r="AV9" s="53">
        <v>7004</v>
      </c>
      <c r="AW9" s="53">
        <v>6834</v>
      </c>
      <c r="AX9" s="53">
        <v>6169</v>
      </c>
      <c r="AY9" s="53">
        <f t="shared" ref="AY9:AZ11" si="8">AX9</f>
        <v>6169</v>
      </c>
      <c r="AZ9" s="53">
        <f t="shared" si="8"/>
        <v>6169</v>
      </c>
      <c r="BA9" s="55"/>
      <c r="BB9" s="53">
        <f>129010/10*12</f>
        <v>154812</v>
      </c>
      <c r="BC9" s="25">
        <f t="shared" si="1"/>
        <v>114.63309885227693</v>
      </c>
      <c r="BD9" s="25">
        <f t="shared" si="2"/>
        <v>78.690624444049107</v>
      </c>
      <c r="BE9" s="21">
        <f t="shared" si="4"/>
        <v>114.63309885227693</v>
      </c>
      <c r="BF9" s="21">
        <f t="shared" si="5"/>
        <v>78.690624444049107</v>
      </c>
    </row>
    <row r="10" spans="1:95" ht="24" customHeight="1" x14ac:dyDescent="0.2">
      <c r="A10" s="47">
        <v>2</v>
      </c>
      <c r="B10" s="48" t="s">
        <v>2</v>
      </c>
      <c r="C10" s="47">
        <v>60</v>
      </c>
      <c r="D10" s="47">
        <v>60</v>
      </c>
      <c r="E10" s="47">
        <v>60</v>
      </c>
      <c r="F10" s="47">
        <v>3000</v>
      </c>
      <c r="G10" s="53">
        <v>2800</v>
      </c>
      <c r="H10" s="52">
        <f>SUM(I10:T10)</f>
        <v>3762</v>
      </c>
      <c r="I10" s="53">
        <v>173</v>
      </c>
      <c r="J10" s="53">
        <v>153</v>
      </c>
      <c r="K10" s="53">
        <v>293</v>
      </c>
      <c r="L10" s="53">
        <v>361</v>
      </c>
      <c r="M10" s="53">
        <v>377</v>
      </c>
      <c r="N10" s="53">
        <v>335</v>
      </c>
      <c r="O10" s="53">
        <v>283</v>
      </c>
      <c r="P10" s="53">
        <v>362</v>
      </c>
      <c r="Q10" s="61">
        <v>345</v>
      </c>
      <c r="R10" s="53">
        <v>360</v>
      </c>
      <c r="S10" s="53">
        <f t="shared" si="6"/>
        <v>360</v>
      </c>
      <c r="T10" s="53">
        <f t="shared" si="6"/>
        <v>360</v>
      </c>
      <c r="U10" s="24"/>
      <c r="V10" s="47">
        <v>1400</v>
      </c>
      <c r="W10" s="53">
        <v>1100</v>
      </c>
      <c r="X10" s="52">
        <f>SUM(Y10:AJ10)</f>
        <v>1843</v>
      </c>
      <c r="Y10" s="91">
        <f>'[1]2017_ĐIỀU TRỊ TOÀN VIỆN'!$H$5</f>
        <v>112</v>
      </c>
      <c r="Z10" s="91">
        <f>'[1]2017_ĐIỀU TRỊ TOÀN VIỆN'!$H$6</f>
        <v>78</v>
      </c>
      <c r="AA10" s="91">
        <f>'[1]2017_ĐIỀU TRỊ TOÀN VIỆN'!$H$7</f>
        <v>124</v>
      </c>
      <c r="AB10" s="91">
        <f>'[1]2017_ĐIỀU TRỊ TOÀN VIỆN'!$H$8</f>
        <v>156</v>
      </c>
      <c r="AC10" s="91">
        <f>'[1]2017_ĐIỀU TRỊ TOÀN VIỆN'!$H$9</f>
        <v>187</v>
      </c>
      <c r="AD10" s="91">
        <f>'[1]2017_ĐIỀU TRỊ TOÀN VIỆN'!$H$10</f>
        <v>149</v>
      </c>
      <c r="AE10" s="53">
        <v>135</v>
      </c>
      <c r="AF10" s="91">
        <v>195</v>
      </c>
      <c r="AG10" s="53">
        <v>203</v>
      </c>
      <c r="AH10" s="53">
        <v>168</v>
      </c>
      <c r="AI10" s="53">
        <f t="shared" si="7"/>
        <v>168</v>
      </c>
      <c r="AJ10" s="53">
        <f t="shared" si="7"/>
        <v>168</v>
      </c>
      <c r="AK10" s="54">
        <f>AJ10</f>
        <v>168</v>
      </c>
      <c r="AL10" s="53">
        <v>500</v>
      </c>
      <c r="AM10" s="53">
        <v>1500</v>
      </c>
      <c r="AN10" s="52">
        <f>SUM(AO10:AZ10)</f>
        <v>1707</v>
      </c>
      <c r="AO10" s="53">
        <v>64</v>
      </c>
      <c r="AP10" s="53">
        <v>111</v>
      </c>
      <c r="AQ10" s="53">
        <v>121</v>
      </c>
      <c r="AR10" s="53">
        <v>199</v>
      </c>
      <c r="AS10" s="53">
        <v>159</v>
      </c>
      <c r="AT10" s="53">
        <v>148</v>
      </c>
      <c r="AU10" s="53">
        <v>130</v>
      </c>
      <c r="AV10" s="53">
        <v>144</v>
      </c>
      <c r="AW10" s="53">
        <v>142</v>
      </c>
      <c r="AX10" s="53">
        <v>163</v>
      </c>
      <c r="AY10" s="53">
        <f t="shared" si="8"/>
        <v>163</v>
      </c>
      <c r="AZ10" s="53">
        <f t="shared" si="8"/>
        <v>163</v>
      </c>
      <c r="BA10" s="55"/>
      <c r="BB10" s="53">
        <f>18216/10*12</f>
        <v>21859.199999999997</v>
      </c>
      <c r="BC10" s="25">
        <f t="shared" si="1"/>
        <v>99.813698630136969</v>
      </c>
      <c r="BD10" s="25">
        <f t="shared" si="2"/>
        <v>99.813698630136969</v>
      </c>
      <c r="BE10" s="21">
        <f t="shared" si="4"/>
        <v>99.813698630136969</v>
      </c>
      <c r="BF10" s="21">
        <f t="shared" si="5"/>
        <v>99.813698630136969</v>
      </c>
      <c r="BH10" s="4">
        <f>365/12*10</f>
        <v>304.16666666666669</v>
      </c>
    </row>
    <row r="11" spans="1:95" ht="24" customHeight="1" x14ac:dyDescent="0.2">
      <c r="A11" s="47">
        <v>3</v>
      </c>
      <c r="B11" s="48" t="s">
        <v>3</v>
      </c>
      <c r="C11" s="47">
        <v>70</v>
      </c>
      <c r="D11" s="47">
        <v>60</v>
      </c>
      <c r="E11" s="47">
        <v>80</v>
      </c>
      <c r="F11" s="47">
        <v>6200</v>
      </c>
      <c r="G11" s="53">
        <v>1980</v>
      </c>
      <c r="H11" s="52">
        <f>SUM(I11:T11)</f>
        <v>5836</v>
      </c>
      <c r="I11" s="53">
        <v>411</v>
      </c>
      <c r="J11" s="53">
        <v>463</v>
      </c>
      <c r="K11" s="53">
        <v>506</v>
      </c>
      <c r="L11" s="53">
        <v>563</v>
      </c>
      <c r="M11" s="53">
        <v>563</v>
      </c>
      <c r="N11" s="53">
        <v>559</v>
      </c>
      <c r="O11" s="53">
        <v>482</v>
      </c>
      <c r="P11" s="53">
        <v>620</v>
      </c>
      <c r="Q11" s="61">
        <v>385</v>
      </c>
      <c r="R11" s="53">
        <v>428</v>
      </c>
      <c r="S11" s="53">
        <f t="shared" si="6"/>
        <v>428</v>
      </c>
      <c r="T11" s="53">
        <f t="shared" si="6"/>
        <v>428</v>
      </c>
      <c r="U11" s="24"/>
      <c r="V11" s="47">
        <v>1600</v>
      </c>
      <c r="W11" s="53">
        <v>751</v>
      </c>
      <c r="X11" s="52">
        <f>SUM(Y11:AJ11)</f>
        <v>1953</v>
      </c>
      <c r="Y11" s="53">
        <v>170</v>
      </c>
      <c r="Z11" s="53">
        <v>114</v>
      </c>
      <c r="AA11" s="53">
        <v>178</v>
      </c>
      <c r="AB11" s="53">
        <v>221</v>
      </c>
      <c r="AC11" s="53">
        <v>189</v>
      </c>
      <c r="AD11" s="53">
        <v>159</v>
      </c>
      <c r="AE11" s="61">
        <v>185</v>
      </c>
      <c r="AF11" s="61">
        <v>221</v>
      </c>
      <c r="AG11" s="53">
        <v>123</v>
      </c>
      <c r="AH11" s="53">
        <v>131</v>
      </c>
      <c r="AI11" s="53">
        <f t="shared" si="7"/>
        <v>131</v>
      </c>
      <c r="AJ11" s="53">
        <f t="shared" si="7"/>
        <v>131</v>
      </c>
      <c r="AK11" s="24"/>
      <c r="AL11" s="53">
        <v>3200</v>
      </c>
      <c r="AM11" s="53">
        <v>1229</v>
      </c>
      <c r="AN11" s="52">
        <f>SUM(AO11:AZ11)</f>
        <v>3883</v>
      </c>
      <c r="AO11" s="53">
        <v>241</v>
      </c>
      <c r="AP11" s="53">
        <v>349</v>
      </c>
      <c r="AQ11" s="53">
        <v>328</v>
      </c>
      <c r="AR11" s="53">
        <v>342</v>
      </c>
      <c r="AS11" s="53">
        <v>374</v>
      </c>
      <c r="AT11" s="53">
        <v>400</v>
      </c>
      <c r="AU11" s="53">
        <v>297</v>
      </c>
      <c r="AV11" s="53">
        <v>399</v>
      </c>
      <c r="AW11" s="53">
        <v>262</v>
      </c>
      <c r="AX11" s="53">
        <v>297</v>
      </c>
      <c r="AY11" s="53">
        <f t="shared" si="8"/>
        <v>297</v>
      </c>
      <c r="AZ11" s="53">
        <f t="shared" si="8"/>
        <v>297</v>
      </c>
      <c r="BA11" s="55"/>
      <c r="BB11" s="87">
        <v>27300</v>
      </c>
      <c r="BC11" s="25">
        <f t="shared" si="1"/>
        <v>106.84931506849315</v>
      </c>
      <c r="BD11" s="25">
        <f t="shared" si="2"/>
        <v>93.493150684931507</v>
      </c>
      <c r="BE11" s="21">
        <f t="shared" si="4"/>
        <v>106.84931506849315</v>
      </c>
      <c r="BF11" s="21">
        <f t="shared" si="5"/>
        <v>93.493150684931507</v>
      </c>
    </row>
    <row r="12" spans="1:95" s="38" customFormat="1" ht="24" customHeight="1" x14ac:dyDescent="0.35">
      <c r="A12" s="41" t="s">
        <v>12</v>
      </c>
      <c r="B12" s="42" t="s">
        <v>4</v>
      </c>
      <c r="C12" s="44">
        <f>SUM(C13:C20)</f>
        <v>750</v>
      </c>
      <c r="D12" s="44">
        <f>SUM(D13:D20)</f>
        <v>680</v>
      </c>
      <c r="E12" s="44">
        <f>SUM(E13:E20)</f>
        <v>947</v>
      </c>
      <c r="F12" s="44">
        <f>SUM(F13:F20)</f>
        <v>1020000</v>
      </c>
      <c r="G12" s="44">
        <f>SUM(G13:G20)</f>
        <v>548702</v>
      </c>
      <c r="H12" s="46">
        <f>+SUM(I12:T12)</f>
        <v>909407</v>
      </c>
      <c r="I12" s="44">
        <f t="shared" ref="I12:T12" si="9">SUM(I13:I20)</f>
        <v>65956</v>
      </c>
      <c r="J12" s="44">
        <f t="shared" si="9"/>
        <v>64779</v>
      </c>
      <c r="K12" s="44">
        <f t="shared" si="9"/>
        <v>80105</v>
      </c>
      <c r="L12" s="44">
        <f t="shared" si="9"/>
        <v>88855</v>
      </c>
      <c r="M12" s="44">
        <f t="shared" si="9"/>
        <v>78704</v>
      </c>
      <c r="N12" s="44">
        <f t="shared" si="9"/>
        <v>78966</v>
      </c>
      <c r="O12" s="44">
        <f t="shared" si="9"/>
        <v>75510</v>
      </c>
      <c r="P12" s="44">
        <f t="shared" si="9"/>
        <v>65527</v>
      </c>
      <c r="Q12" s="44">
        <f t="shared" si="9"/>
        <v>77552</v>
      </c>
      <c r="R12" s="62">
        <f t="shared" si="9"/>
        <v>85174</v>
      </c>
      <c r="S12" s="44">
        <f t="shared" si="9"/>
        <v>75293</v>
      </c>
      <c r="T12" s="44">
        <f t="shared" si="9"/>
        <v>72986</v>
      </c>
      <c r="U12" s="45">
        <f>H12/F12%</f>
        <v>89.157549019607842</v>
      </c>
      <c r="V12" s="44">
        <f>SUM(V13:V20)</f>
        <v>39850</v>
      </c>
      <c r="W12" s="44">
        <f>SUM(W13:W20)</f>
        <v>27659</v>
      </c>
      <c r="X12" s="46" t="e">
        <f>+SUM(Y12:AJ12)</f>
        <v>#REF!</v>
      </c>
      <c r="Y12" s="44" t="e">
        <f t="shared" ref="Y12:AJ12" si="10">SUM(Y13:Y20)</f>
        <v>#REF!</v>
      </c>
      <c r="Z12" s="44" t="e">
        <f t="shared" si="10"/>
        <v>#REF!</v>
      </c>
      <c r="AA12" s="44" t="e">
        <f t="shared" si="10"/>
        <v>#REF!</v>
      </c>
      <c r="AB12" s="44" t="e">
        <f t="shared" si="10"/>
        <v>#REF!</v>
      </c>
      <c r="AC12" s="44" t="e">
        <f t="shared" si="10"/>
        <v>#REF!</v>
      </c>
      <c r="AD12" s="44" t="e">
        <f t="shared" si="10"/>
        <v>#REF!</v>
      </c>
      <c r="AE12" s="44" t="e">
        <f t="shared" si="10"/>
        <v>#REF!</v>
      </c>
      <c r="AF12" s="44" t="e">
        <f t="shared" si="10"/>
        <v>#REF!</v>
      </c>
      <c r="AG12" s="44" t="e">
        <f t="shared" si="10"/>
        <v>#REF!</v>
      </c>
      <c r="AH12" s="44" t="e">
        <f t="shared" si="10"/>
        <v>#REF!</v>
      </c>
      <c r="AI12" s="44">
        <f t="shared" si="10"/>
        <v>3880</v>
      </c>
      <c r="AJ12" s="44">
        <f t="shared" si="10"/>
        <v>3471</v>
      </c>
      <c r="AK12" s="45" t="e">
        <f>X12/V12%</f>
        <v>#REF!</v>
      </c>
      <c r="AL12" s="44">
        <f>SUM(AL13:AL20)</f>
        <v>614000</v>
      </c>
      <c r="AM12" s="44">
        <f>SUM(AM13:AM20)</f>
        <v>362055</v>
      </c>
      <c r="AN12" s="44">
        <f t="shared" ref="AN12:AZ12" si="11">SUM(AN13:AN20)</f>
        <v>605518</v>
      </c>
      <c r="AO12" s="44">
        <f t="shared" si="11"/>
        <v>44764</v>
      </c>
      <c r="AP12" s="44">
        <f t="shared" si="11"/>
        <v>39091</v>
      </c>
      <c r="AQ12" s="44">
        <f t="shared" si="11"/>
        <v>46132</v>
      </c>
      <c r="AR12" s="44">
        <f t="shared" si="11"/>
        <v>54729</v>
      </c>
      <c r="AS12" s="44">
        <f t="shared" si="11"/>
        <v>46485</v>
      </c>
      <c r="AT12" s="44">
        <f t="shared" si="11"/>
        <v>48523</v>
      </c>
      <c r="AU12" s="44">
        <f t="shared" si="11"/>
        <v>45263</v>
      </c>
      <c r="AV12" s="44">
        <f t="shared" si="11"/>
        <v>36266</v>
      </c>
      <c r="AW12" s="44">
        <f t="shared" si="11"/>
        <v>45949</v>
      </c>
      <c r="AX12" s="44">
        <f t="shared" si="11"/>
        <v>53515</v>
      </c>
      <c r="AY12" s="44">
        <f t="shared" si="11"/>
        <v>47457</v>
      </c>
      <c r="AZ12" s="44">
        <f t="shared" si="11"/>
        <v>43711</v>
      </c>
      <c r="BA12" s="45">
        <f t="shared" ref="BA12:BA20" si="12">AN12/AL12%</f>
        <v>98.618566775244304</v>
      </c>
      <c r="BB12" s="44">
        <f>SUM(BB13:BB20)</f>
        <v>322744</v>
      </c>
      <c r="BC12" s="37">
        <f t="shared" si="1"/>
        <v>117.89735159817351</v>
      </c>
      <c r="BD12" s="37">
        <f t="shared" si="2"/>
        <v>93.37171457088715</v>
      </c>
      <c r="BE12" s="21">
        <f t="shared" si="4"/>
        <v>117.89735159817351</v>
      </c>
      <c r="BF12" s="21">
        <f t="shared" si="5"/>
        <v>93.37171457088715</v>
      </c>
    </row>
    <row r="13" spans="1:95" ht="24" customHeight="1" x14ac:dyDescent="0.2">
      <c r="A13" s="49">
        <v>1</v>
      </c>
      <c r="B13" s="50" t="s">
        <v>5</v>
      </c>
      <c r="C13" s="47">
        <v>100</v>
      </c>
      <c r="D13" s="47">
        <v>90</v>
      </c>
      <c r="E13" s="47">
        <v>164</v>
      </c>
      <c r="F13" s="47">
        <v>101000</v>
      </c>
      <c r="G13" s="58">
        <v>47718</v>
      </c>
      <c r="H13" s="52">
        <f>SUM(I13:T13)</f>
        <v>97232</v>
      </c>
      <c r="I13" s="53">
        <v>7336</v>
      </c>
      <c r="J13" s="53">
        <v>6286</v>
      </c>
      <c r="K13" s="53">
        <v>6894</v>
      </c>
      <c r="L13" s="53">
        <v>8367</v>
      </c>
      <c r="M13" s="53">
        <v>7305</v>
      </c>
      <c r="N13" s="53">
        <v>7365</v>
      </c>
      <c r="O13" s="53">
        <v>8110</v>
      </c>
      <c r="P13" s="53">
        <v>7945</v>
      </c>
      <c r="Q13" s="53">
        <v>8998</v>
      </c>
      <c r="R13" s="53">
        <v>9890</v>
      </c>
      <c r="S13" s="53">
        <v>9765</v>
      </c>
      <c r="T13" s="53">
        <v>8971</v>
      </c>
      <c r="U13" s="24"/>
      <c r="V13" s="47">
        <v>5500</v>
      </c>
      <c r="W13" s="58">
        <v>3654</v>
      </c>
      <c r="X13" s="52">
        <f>SUM(Y13:AJ13)</f>
        <v>9734</v>
      </c>
      <c r="Y13" s="53">
        <v>661</v>
      </c>
      <c r="Z13" s="53">
        <v>518</v>
      </c>
      <c r="AA13" s="53">
        <v>676</v>
      </c>
      <c r="AB13" s="53">
        <v>719</v>
      </c>
      <c r="AC13" s="53">
        <v>633</v>
      </c>
      <c r="AD13" s="53">
        <v>628</v>
      </c>
      <c r="AE13" s="53">
        <v>905</v>
      </c>
      <c r="AF13" s="53">
        <v>911</v>
      </c>
      <c r="AG13" s="53">
        <v>959</v>
      </c>
      <c r="AH13" s="53">
        <v>1296</v>
      </c>
      <c r="AI13" s="53">
        <v>971</v>
      </c>
      <c r="AJ13" s="53">
        <v>857</v>
      </c>
      <c r="AK13" s="24"/>
      <c r="AL13" s="58">
        <v>92000</v>
      </c>
      <c r="AM13" s="58">
        <v>42176</v>
      </c>
      <c r="AN13" s="95">
        <f>SUM(AO13:AZ13)</f>
        <v>86169</v>
      </c>
      <c r="AO13" s="53">
        <v>6675</v>
      </c>
      <c r="AP13" s="53">
        <v>5760</v>
      </c>
      <c r="AQ13" s="53">
        <v>6124</v>
      </c>
      <c r="AR13" s="53">
        <v>7488</v>
      </c>
      <c r="AS13" s="53">
        <v>6672</v>
      </c>
      <c r="AT13" s="53">
        <v>6737</v>
      </c>
      <c r="AU13" s="53">
        <v>7030</v>
      </c>
      <c r="AV13" s="53">
        <v>6680</v>
      </c>
      <c r="AW13" s="53">
        <v>7672</v>
      </c>
      <c r="AX13" s="53">
        <v>8423</v>
      </c>
      <c r="AY13" s="53">
        <v>8794</v>
      </c>
      <c r="AZ13" s="53">
        <v>8114</v>
      </c>
      <c r="BA13" s="53">
        <f>U13-AK13</f>
        <v>0</v>
      </c>
      <c r="BB13" s="53">
        <v>52758</v>
      </c>
      <c r="BC13" s="25">
        <f t="shared" si="1"/>
        <v>144.54246575342466</v>
      </c>
      <c r="BD13" s="25">
        <f t="shared" si="2"/>
        <v>88.135649849649184</v>
      </c>
      <c r="BE13" s="21">
        <f t="shared" si="4"/>
        <v>144.54246575342466</v>
      </c>
      <c r="BF13" s="21">
        <f t="shared" si="5"/>
        <v>88.135649849649184</v>
      </c>
    </row>
    <row r="14" spans="1:95" ht="24" customHeight="1" x14ac:dyDescent="0.2">
      <c r="A14" s="47">
        <v>2</v>
      </c>
      <c r="B14" s="48" t="s">
        <v>6</v>
      </c>
      <c r="C14" s="47">
        <v>120</v>
      </c>
      <c r="D14" s="47">
        <v>110</v>
      </c>
      <c r="E14" s="47">
        <v>143</v>
      </c>
      <c r="F14" s="47">
        <v>200000</v>
      </c>
      <c r="G14" s="96">
        <v>71080</v>
      </c>
      <c r="H14" s="52">
        <f>SUM(I14:T14)</f>
        <v>194444</v>
      </c>
      <c r="I14" s="91">
        <f>14901+2660</f>
        <v>17561</v>
      </c>
      <c r="J14" s="91">
        <f>12695+3326</f>
        <v>16021</v>
      </c>
      <c r="K14" s="91">
        <f>13591+3655</f>
        <v>17246</v>
      </c>
      <c r="L14" s="91">
        <f>15404+3181</f>
        <v>18585</v>
      </c>
      <c r="M14" s="91">
        <f>12669+2889</f>
        <v>15558</v>
      </c>
      <c r="N14" s="91">
        <v>16815</v>
      </c>
      <c r="O14" s="91">
        <v>13528</v>
      </c>
      <c r="P14" s="91">
        <v>14580</v>
      </c>
      <c r="Q14" s="91">
        <v>16348</v>
      </c>
      <c r="R14" s="91">
        <v>16202</v>
      </c>
      <c r="S14" s="91">
        <v>16000</v>
      </c>
      <c r="T14" s="91">
        <v>16000</v>
      </c>
      <c r="U14" s="24"/>
      <c r="V14" s="47">
        <v>7000</v>
      </c>
      <c r="W14" s="53">
        <v>2746</v>
      </c>
      <c r="X14" s="95">
        <f>SUM(Y14:AJ14)</f>
        <v>5908</v>
      </c>
      <c r="Y14" s="53">
        <v>541</v>
      </c>
      <c r="Z14" s="53">
        <v>378</v>
      </c>
      <c r="AA14" s="53">
        <v>357</v>
      </c>
      <c r="AB14" s="53">
        <v>470</v>
      </c>
      <c r="AC14" s="53">
        <v>391</v>
      </c>
      <c r="AD14" s="53">
        <f>120+219</f>
        <v>339</v>
      </c>
      <c r="AE14" s="53">
        <v>474</v>
      </c>
      <c r="AF14" s="53">
        <v>506</v>
      </c>
      <c r="AG14" s="53">
        <v>568</v>
      </c>
      <c r="AH14" s="53">
        <v>784</v>
      </c>
      <c r="AI14" s="53">
        <v>550</v>
      </c>
      <c r="AJ14" s="53">
        <v>550</v>
      </c>
      <c r="AK14" s="24"/>
      <c r="AL14" s="53">
        <v>110000</v>
      </c>
      <c r="AM14" s="53">
        <v>51668</v>
      </c>
      <c r="AN14" s="95">
        <f>SUM(AO14:AZ14)</f>
        <v>111480</v>
      </c>
      <c r="AO14" s="53">
        <f>7253+1937+1330</f>
        <v>10520</v>
      </c>
      <c r="AP14" s="53">
        <f>5680+1416+837</f>
        <v>7933</v>
      </c>
      <c r="AQ14" s="53">
        <f>5980+1552+813</f>
        <v>8345</v>
      </c>
      <c r="AR14" s="53">
        <f>7054+1600+1067</f>
        <v>9721</v>
      </c>
      <c r="AS14" s="53">
        <f>5375+1511+995</f>
        <v>7881</v>
      </c>
      <c r="AT14" s="53">
        <f>6496+1876+1174</f>
        <v>9546</v>
      </c>
      <c r="AU14" s="53">
        <v>7780</v>
      </c>
      <c r="AV14" s="53">
        <v>8491</v>
      </c>
      <c r="AW14" s="53">
        <v>10514</v>
      </c>
      <c r="AX14" s="53">
        <v>10749</v>
      </c>
      <c r="AY14" s="53">
        <v>10000</v>
      </c>
      <c r="AZ14" s="53">
        <v>10000</v>
      </c>
      <c r="BA14" s="55">
        <f t="shared" si="12"/>
        <v>101.34545454545454</v>
      </c>
      <c r="BB14" s="53">
        <v>35400</v>
      </c>
      <c r="BC14" s="63">
        <f t="shared" si="1"/>
        <v>80.821917808219183</v>
      </c>
      <c r="BD14" s="63">
        <f t="shared" si="2"/>
        <v>67.822588370533566</v>
      </c>
      <c r="BE14" s="21">
        <f t="shared" si="4"/>
        <v>80.821917808219183</v>
      </c>
      <c r="BF14" s="21">
        <f t="shared" si="5"/>
        <v>67.82258837053358</v>
      </c>
    </row>
    <row r="15" spans="1:95" s="90" customFormat="1" ht="24" customHeight="1" x14ac:dyDescent="0.2">
      <c r="A15" s="93">
        <v>3</v>
      </c>
      <c r="B15" s="94" t="s">
        <v>7</v>
      </c>
      <c r="C15" s="93">
        <v>120</v>
      </c>
      <c r="D15" s="93">
        <v>120</v>
      </c>
      <c r="E15" s="93">
        <v>171</v>
      </c>
      <c r="F15" s="93">
        <v>180000</v>
      </c>
      <c r="G15" s="96">
        <v>71057</v>
      </c>
      <c r="H15" s="95">
        <f t="shared" ref="H15:H20" si="13">SUM(I15:T15)</f>
        <v>176848</v>
      </c>
      <c r="I15" s="91">
        <v>12878</v>
      </c>
      <c r="J15" s="91">
        <v>13945</v>
      </c>
      <c r="K15" s="91">
        <v>16566</v>
      </c>
      <c r="L15" s="91">
        <v>14888</v>
      </c>
      <c r="M15" s="91">
        <v>13054</v>
      </c>
      <c r="N15" s="91">
        <v>10605</v>
      </c>
      <c r="O15" s="91">
        <v>11377</v>
      </c>
      <c r="P15" s="91">
        <v>14495</v>
      </c>
      <c r="Q15" s="91">
        <v>16415</v>
      </c>
      <c r="R15" s="91">
        <v>18750</v>
      </c>
      <c r="S15" s="91">
        <v>16825</v>
      </c>
      <c r="T15" s="91">
        <v>17050</v>
      </c>
      <c r="U15" s="88"/>
      <c r="V15" s="93">
        <v>6500</v>
      </c>
      <c r="W15" s="91">
        <v>3607</v>
      </c>
      <c r="X15" s="95" t="e">
        <f t="shared" ref="X15:X20" si="14">SUM(Y15:AJ15)</f>
        <v>#REF!</v>
      </c>
      <c r="Y15" s="91" t="e">
        <f>#REF!</f>
        <v>#REF!</v>
      </c>
      <c r="Z15" s="91" t="e">
        <f>#REF!</f>
        <v>#REF!</v>
      </c>
      <c r="AA15" s="91" t="e">
        <f>#REF!</f>
        <v>#REF!</v>
      </c>
      <c r="AB15" s="91" t="e">
        <f>#REF!</f>
        <v>#REF!</v>
      </c>
      <c r="AC15" s="91" t="e">
        <f>#REF!</f>
        <v>#REF!</v>
      </c>
      <c r="AD15" s="91" t="e">
        <f>#REF!</f>
        <v>#REF!</v>
      </c>
      <c r="AE15" s="91" t="e">
        <f>#REF!</f>
        <v>#REF!</v>
      </c>
      <c r="AF15" s="91" t="e">
        <f>#REF!</f>
        <v>#REF!</v>
      </c>
      <c r="AG15" s="91" t="e">
        <f>#REF!</f>
        <v>#REF!</v>
      </c>
      <c r="AH15" s="91" t="e">
        <f>#REF!</f>
        <v>#REF!</v>
      </c>
      <c r="AI15" s="91">
        <v>720</v>
      </c>
      <c r="AJ15" s="91">
        <v>685</v>
      </c>
      <c r="AK15" s="98"/>
      <c r="AL15" s="91">
        <v>75000</v>
      </c>
      <c r="AM15" s="91">
        <v>32154</v>
      </c>
      <c r="AN15" s="95">
        <f t="shared" ref="AN15:AN20" si="15">SUM(AO15:AZ15)</f>
        <v>66286</v>
      </c>
      <c r="AO15" s="91">
        <v>5955</v>
      </c>
      <c r="AP15" s="91">
        <v>4509</v>
      </c>
      <c r="AQ15" s="91">
        <v>6185</v>
      </c>
      <c r="AR15" s="91">
        <v>6629</v>
      </c>
      <c r="AS15" s="91">
        <v>4710</v>
      </c>
      <c r="AT15" s="91">
        <v>5110</v>
      </c>
      <c r="AU15" s="91">
        <v>4357</v>
      </c>
      <c r="AV15" s="91">
        <v>4796</v>
      </c>
      <c r="AW15" s="91">
        <v>6521</v>
      </c>
      <c r="AX15" s="91">
        <v>6154</v>
      </c>
      <c r="AY15" s="91">
        <v>5820</v>
      </c>
      <c r="AZ15" s="91">
        <v>5540</v>
      </c>
      <c r="BA15" s="98">
        <f t="shared" si="12"/>
        <v>88.38133333333333</v>
      </c>
      <c r="BB15" s="91">
        <v>46532</v>
      </c>
      <c r="BC15" s="89">
        <f t="shared" si="1"/>
        <v>106.23744292237443</v>
      </c>
      <c r="BD15" s="89">
        <f t="shared" si="2"/>
        <v>74.552591524473286</v>
      </c>
      <c r="BE15" s="21">
        <f t="shared" si="4"/>
        <v>106.23744292237443</v>
      </c>
      <c r="BF15" s="21">
        <f t="shared" si="5"/>
        <v>74.552591524473286</v>
      </c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</row>
    <row r="16" spans="1:95" ht="24" customHeight="1" x14ac:dyDescent="0.2">
      <c r="A16" s="47">
        <v>4</v>
      </c>
      <c r="B16" s="48" t="s">
        <v>8</v>
      </c>
      <c r="C16" s="47">
        <v>90</v>
      </c>
      <c r="D16" s="47">
        <v>80</v>
      </c>
      <c r="E16" s="47">
        <v>120</v>
      </c>
      <c r="F16" s="47">
        <v>145000</v>
      </c>
      <c r="G16" s="96">
        <v>59840</v>
      </c>
      <c r="H16" s="52">
        <f t="shared" si="13"/>
        <v>133771</v>
      </c>
      <c r="I16" s="91">
        <v>1389</v>
      </c>
      <c r="J16" s="91">
        <v>7033</v>
      </c>
      <c r="K16" s="91">
        <v>11631</v>
      </c>
      <c r="L16" s="91">
        <v>12868</v>
      </c>
      <c r="M16" s="91">
        <v>12439</v>
      </c>
      <c r="N16" s="91">
        <v>13219</v>
      </c>
      <c r="O16" s="91">
        <v>12003</v>
      </c>
      <c r="P16" s="91">
        <v>12129</v>
      </c>
      <c r="Q16" s="91">
        <f>'[2] TH-CTKH_2017'!$O$14</f>
        <v>14384</v>
      </c>
      <c r="R16" s="91">
        <f>'[2] TH-CTKH_2017'!$Q$14</f>
        <v>12516</v>
      </c>
      <c r="S16" s="91">
        <v>12320</v>
      </c>
      <c r="T16" s="91">
        <f>23680/2</f>
        <v>11840</v>
      </c>
      <c r="U16" s="24"/>
      <c r="V16" s="93">
        <v>5050</v>
      </c>
      <c r="W16" s="91">
        <v>2795</v>
      </c>
      <c r="X16" s="95">
        <f t="shared" si="14"/>
        <v>6228</v>
      </c>
      <c r="Y16" s="91">
        <v>68</v>
      </c>
      <c r="Z16" s="91">
        <v>331</v>
      </c>
      <c r="AA16" s="91">
        <v>426</v>
      </c>
      <c r="AB16" s="91">
        <v>517</v>
      </c>
      <c r="AC16" s="91">
        <v>528</v>
      </c>
      <c r="AD16" s="91">
        <v>550</v>
      </c>
      <c r="AE16" s="91">
        <v>586</v>
      </c>
      <c r="AF16" s="91">
        <v>583</v>
      </c>
      <c r="AG16" s="91">
        <f>'[2] TH-CTKH_2017'!$O$17</f>
        <v>701</v>
      </c>
      <c r="AH16" s="91">
        <f>'[2] TH-CTKH_2017'!$Q$17</f>
        <v>900</v>
      </c>
      <c r="AI16" s="91">
        <v>519</v>
      </c>
      <c r="AJ16" s="91">
        <f>1038/2</f>
        <v>519</v>
      </c>
      <c r="AK16" s="98"/>
      <c r="AL16" s="91">
        <v>90000</v>
      </c>
      <c r="AM16" s="91">
        <v>36154</v>
      </c>
      <c r="AN16" s="95">
        <f t="shared" si="15"/>
        <v>70834</v>
      </c>
      <c r="AO16" s="91">
        <v>650</v>
      </c>
      <c r="AP16" s="91">
        <v>4242</v>
      </c>
      <c r="AQ16" s="91">
        <v>5285</v>
      </c>
      <c r="AR16" s="91">
        <v>6516</v>
      </c>
      <c r="AS16" s="91">
        <v>5608</v>
      </c>
      <c r="AT16" s="91">
        <v>6177</v>
      </c>
      <c r="AU16" s="91">
        <v>5829</v>
      </c>
      <c r="AV16" s="91">
        <v>5579</v>
      </c>
      <c r="AW16" s="91">
        <f>'[2] TH-CTKH_2017'!$O$20</f>
        <v>7688</v>
      </c>
      <c r="AX16" s="91">
        <f>'[2] TH-CTKH_2017'!$Q$20</f>
        <v>7766</v>
      </c>
      <c r="AY16" s="91">
        <v>7690</v>
      </c>
      <c r="AZ16" s="91">
        <f>15608/2</f>
        <v>7804</v>
      </c>
      <c r="BA16" s="98">
        <f t="shared" si="12"/>
        <v>78.704444444444448</v>
      </c>
      <c r="BB16" s="91">
        <v>43018</v>
      </c>
      <c r="BC16" s="63">
        <f t="shared" si="1"/>
        <v>130.95281582952816</v>
      </c>
      <c r="BD16" s="63">
        <f t="shared" si="2"/>
        <v>98.214611872146122</v>
      </c>
      <c r="BE16" s="21">
        <f t="shared" si="4"/>
        <v>130.95281582952816</v>
      </c>
      <c r="BF16" s="21">
        <f t="shared" si="5"/>
        <v>98.214611872146122</v>
      </c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</row>
    <row r="17" spans="1:95" s="90" customFormat="1" ht="24" customHeight="1" x14ac:dyDescent="0.2">
      <c r="A17" s="93">
        <v>5</v>
      </c>
      <c r="B17" s="94" t="s">
        <v>9</v>
      </c>
      <c r="C17" s="93">
        <v>150</v>
      </c>
      <c r="D17" s="93">
        <v>140</v>
      </c>
      <c r="E17" s="93">
        <v>188</v>
      </c>
      <c r="F17" s="94">
        <v>174000</v>
      </c>
      <c r="G17" s="96">
        <v>173066</v>
      </c>
      <c r="H17" s="95">
        <v>169287</v>
      </c>
      <c r="I17" s="91">
        <v>11799</v>
      </c>
      <c r="J17" s="91">
        <v>9997</v>
      </c>
      <c r="K17" s="91">
        <v>12111</v>
      </c>
      <c r="L17" s="91">
        <v>14371</v>
      </c>
      <c r="M17" s="91">
        <v>12636</v>
      </c>
      <c r="N17" s="91">
        <v>12636</v>
      </c>
      <c r="O17" s="91">
        <v>14166</v>
      </c>
      <c r="P17" s="91"/>
      <c r="Q17" s="91"/>
      <c r="R17" s="91"/>
      <c r="S17" s="91"/>
      <c r="T17" s="91"/>
      <c r="U17" s="88"/>
      <c r="V17" s="93">
        <v>8000</v>
      </c>
      <c r="W17" s="91">
        <v>10050</v>
      </c>
      <c r="X17" s="95">
        <v>12935</v>
      </c>
      <c r="Y17" s="91">
        <v>1045</v>
      </c>
      <c r="Z17" s="91">
        <v>917</v>
      </c>
      <c r="AA17" s="91">
        <v>1073</v>
      </c>
      <c r="AB17" s="91">
        <v>1222</v>
      </c>
      <c r="AC17" s="91">
        <v>1229</v>
      </c>
      <c r="AD17" s="91">
        <v>1229</v>
      </c>
      <c r="AE17" s="91">
        <v>1067</v>
      </c>
      <c r="AF17" s="91"/>
      <c r="AG17" s="91"/>
      <c r="AH17" s="91"/>
      <c r="AI17" s="91"/>
      <c r="AJ17" s="91"/>
      <c r="AK17" s="98"/>
      <c r="AL17" s="91">
        <v>109000</v>
      </c>
      <c r="AM17" s="91">
        <v>111131</v>
      </c>
      <c r="AN17" s="95">
        <v>121492</v>
      </c>
      <c r="AO17" s="91">
        <v>9398</v>
      </c>
      <c r="AP17" s="91">
        <v>8031</v>
      </c>
      <c r="AQ17" s="91">
        <v>9549</v>
      </c>
      <c r="AR17" s="91">
        <v>11294</v>
      </c>
      <c r="AS17" s="91">
        <v>9836</v>
      </c>
      <c r="AT17" s="91">
        <v>9836</v>
      </c>
      <c r="AU17" s="91">
        <v>9915</v>
      </c>
      <c r="AV17" s="91"/>
      <c r="AW17" s="91"/>
      <c r="AX17" s="91"/>
      <c r="AY17" s="91"/>
      <c r="AZ17" s="91"/>
      <c r="BA17" s="98">
        <f t="shared" si="12"/>
        <v>111.4605504587156</v>
      </c>
      <c r="BB17" s="91">
        <v>75025</v>
      </c>
      <c r="BC17" s="89">
        <f t="shared" si="1"/>
        <v>137.03196347031962</v>
      </c>
      <c r="BD17" s="89">
        <f t="shared" si="2"/>
        <v>109.33401340716992</v>
      </c>
      <c r="BE17" s="21">
        <f t="shared" si="4"/>
        <v>137.03196347031962</v>
      </c>
      <c r="BF17" s="21">
        <f t="shared" si="5"/>
        <v>109.33401340716993</v>
      </c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</row>
    <row r="18" spans="1:95" ht="24" customHeight="1" x14ac:dyDescent="0.2">
      <c r="A18" s="47">
        <v>6</v>
      </c>
      <c r="B18" s="48" t="s">
        <v>10</v>
      </c>
      <c r="C18" s="47">
        <v>110</v>
      </c>
      <c r="D18" s="47">
        <v>100</v>
      </c>
      <c r="E18" s="47">
        <v>125</v>
      </c>
      <c r="F18" s="47">
        <v>136000</v>
      </c>
      <c r="G18" s="96">
        <v>59872</v>
      </c>
      <c r="H18" s="52">
        <f>SUM(I18:T18)</f>
        <v>142559</v>
      </c>
      <c r="I18" s="91">
        <v>9072</v>
      </c>
      <c r="J18" s="91">
        <v>6421</v>
      </c>
      <c r="K18" s="91">
        <v>9772</v>
      </c>
      <c r="L18" s="91">
        <v>13238</v>
      </c>
      <c r="M18" s="91">
        <v>12063</v>
      </c>
      <c r="N18" s="91">
        <v>12425</v>
      </c>
      <c r="O18" s="91">
        <v>10459</v>
      </c>
      <c r="P18" s="91">
        <v>10310</v>
      </c>
      <c r="Q18" s="91">
        <v>13769</v>
      </c>
      <c r="R18" s="91">
        <v>19830</v>
      </c>
      <c r="S18" s="91">
        <v>13500</v>
      </c>
      <c r="T18" s="91">
        <v>11700</v>
      </c>
      <c r="U18" s="24"/>
      <c r="V18" s="93">
        <v>6000</v>
      </c>
      <c r="W18" s="53">
        <v>3092</v>
      </c>
      <c r="X18" s="52">
        <f>SUM(Y18:AJ18)</f>
        <v>9058</v>
      </c>
      <c r="Y18" s="91">
        <v>544</v>
      </c>
      <c r="Z18" s="91">
        <v>446</v>
      </c>
      <c r="AA18" s="91">
        <v>536</v>
      </c>
      <c r="AB18" s="91">
        <v>713</v>
      </c>
      <c r="AC18" s="91">
        <v>660</v>
      </c>
      <c r="AD18" s="91">
        <v>785</v>
      </c>
      <c r="AE18" s="91">
        <v>644</v>
      </c>
      <c r="AF18" s="91">
        <v>737</v>
      </c>
      <c r="AG18" s="91">
        <v>897</v>
      </c>
      <c r="AH18" s="91">
        <v>1456</v>
      </c>
      <c r="AI18" s="91">
        <v>950</v>
      </c>
      <c r="AJ18" s="91">
        <v>690</v>
      </c>
      <c r="AK18" s="98"/>
      <c r="AL18" s="91">
        <v>78000</v>
      </c>
      <c r="AM18" s="91">
        <v>34168</v>
      </c>
      <c r="AN18" s="95">
        <f>SUM(AO18:AZ18)</f>
        <v>96190</v>
      </c>
      <c r="AO18" s="91">
        <v>7067</v>
      </c>
      <c r="AP18" s="91">
        <v>4870</v>
      </c>
      <c r="AQ18" s="91">
        <v>6399</v>
      </c>
      <c r="AR18" s="91">
        <v>8465</v>
      </c>
      <c r="AS18" s="91">
        <v>7940</v>
      </c>
      <c r="AT18" s="91">
        <v>7083</v>
      </c>
      <c r="AU18" s="91">
        <v>6422</v>
      </c>
      <c r="AV18" s="91">
        <v>6721</v>
      </c>
      <c r="AW18" s="91">
        <v>8476</v>
      </c>
      <c r="AX18" s="91">
        <v>14647</v>
      </c>
      <c r="AY18" s="91">
        <v>10500</v>
      </c>
      <c r="AZ18" s="53">
        <v>7600</v>
      </c>
      <c r="BA18" s="55">
        <f t="shared" si="12"/>
        <v>123.32051282051282</v>
      </c>
      <c r="BB18" s="91">
        <v>52727</v>
      </c>
      <c r="BC18" s="63">
        <f t="shared" si="1"/>
        <v>131.32503113325032</v>
      </c>
      <c r="BD18" s="63">
        <f t="shared" si="2"/>
        <v>115.56602739726027</v>
      </c>
      <c r="BE18" s="21">
        <f t="shared" si="4"/>
        <v>131.32503113325032</v>
      </c>
      <c r="BF18" s="21">
        <f t="shared" si="5"/>
        <v>115.56602739726027</v>
      </c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</row>
    <row r="19" spans="1:95" ht="24" customHeight="1" x14ac:dyDescent="0.2">
      <c r="A19" s="47">
        <v>7</v>
      </c>
      <c r="B19" s="48" t="s">
        <v>55</v>
      </c>
      <c r="C19" s="47">
        <v>20</v>
      </c>
      <c r="D19" s="47"/>
      <c r="E19" s="47">
        <v>0</v>
      </c>
      <c r="F19" s="47">
        <v>32000</v>
      </c>
      <c r="G19" s="58">
        <v>15960</v>
      </c>
      <c r="H19" s="52">
        <f t="shared" si="13"/>
        <v>30888</v>
      </c>
      <c r="I19" s="53">
        <v>2044</v>
      </c>
      <c r="J19" s="53">
        <v>1590</v>
      </c>
      <c r="K19" s="53">
        <v>2093</v>
      </c>
      <c r="L19" s="53">
        <v>2430</v>
      </c>
      <c r="M19" s="53">
        <v>2363</v>
      </c>
      <c r="N19" s="53">
        <v>2466</v>
      </c>
      <c r="O19" s="53">
        <v>2468</v>
      </c>
      <c r="P19" s="53">
        <v>2739</v>
      </c>
      <c r="Q19" s="53">
        <v>3447</v>
      </c>
      <c r="R19" s="53">
        <v>3048</v>
      </c>
      <c r="S19" s="97">
        <v>3100</v>
      </c>
      <c r="T19" s="97">
        <v>3100</v>
      </c>
      <c r="U19" s="24"/>
      <c r="V19" s="47"/>
      <c r="W19" s="53"/>
      <c r="X19" s="52">
        <f t="shared" si="14"/>
        <v>0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8"/>
      <c r="AL19" s="91">
        <v>15000</v>
      </c>
      <c r="AM19" s="91">
        <v>8547</v>
      </c>
      <c r="AN19" s="95">
        <f t="shared" si="15"/>
        <v>11624</v>
      </c>
      <c r="AO19" s="53">
        <v>912</v>
      </c>
      <c r="AP19" s="53">
        <v>607</v>
      </c>
      <c r="AQ19" s="53">
        <v>766</v>
      </c>
      <c r="AR19" s="53">
        <v>860</v>
      </c>
      <c r="AS19" s="53">
        <v>844</v>
      </c>
      <c r="AT19" s="53">
        <v>861</v>
      </c>
      <c r="AU19" s="53">
        <v>874</v>
      </c>
      <c r="AV19" s="53">
        <v>1024</v>
      </c>
      <c r="AW19" s="53">
        <v>1243</v>
      </c>
      <c r="AX19" s="53">
        <v>1233</v>
      </c>
      <c r="AY19" s="92">
        <v>1200</v>
      </c>
      <c r="AZ19" s="92">
        <v>1200</v>
      </c>
      <c r="BA19" s="55">
        <f t="shared" si="12"/>
        <v>77.493333333333339</v>
      </c>
      <c r="BB19" s="53">
        <v>0</v>
      </c>
      <c r="BC19" s="63">
        <f t="shared" si="1"/>
        <v>0</v>
      </c>
      <c r="BD19" s="63" t="e">
        <f t="shared" si="2"/>
        <v>#DIV/0!</v>
      </c>
      <c r="BE19" s="21">
        <f t="shared" si="4"/>
        <v>0</v>
      </c>
      <c r="BF19" s="21" t="e">
        <f t="shared" si="5"/>
        <v>#DIV/0!</v>
      </c>
    </row>
    <row r="20" spans="1:95" ht="24" customHeight="1" x14ac:dyDescent="0.25">
      <c r="A20" s="47">
        <v>8</v>
      </c>
      <c r="B20" s="51" t="s">
        <v>15</v>
      </c>
      <c r="C20" s="77">
        <v>40</v>
      </c>
      <c r="D20" s="77">
        <v>40</v>
      </c>
      <c r="E20" s="77">
        <v>36</v>
      </c>
      <c r="F20" s="77">
        <v>52000</v>
      </c>
      <c r="G20" s="60">
        <v>50109</v>
      </c>
      <c r="H20" s="76">
        <f t="shared" si="13"/>
        <v>45949</v>
      </c>
      <c r="I20" s="78">
        <v>3877</v>
      </c>
      <c r="J20" s="78">
        <v>3486</v>
      </c>
      <c r="K20" s="78">
        <v>3792</v>
      </c>
      <c r="L20" s="78">
        <v>4108</v>
      </c>
      <c r="M20" s="78">
        <v>3286</v>
      </c>
      <c r="N20" s="78">
        <v>3435</v>
      </c>
      <c r="O20" s="78">
        <v>3399</v>
      </c>
      <c r="P20" s="78">
        <v>3329</v>
      </c>
      <c r="Q20" s="78">
        <v>4191</v>
      </c>
      <c r="R20" s="78">
        <v>4938</v>
      </c>
      <c r="S20" s="78">
        <v>3783</v>
      </c>
      <c r="T20" s="78">
        <v>4325</v>
      </c>
      <c r="U20" s="26"/>
      <c r="V20" s="77">
        <v>1800</v>
      </c>
      <c r="W20" s="59">
        <v>1715</v>
      </c>
      <c r="X20" s="52">
        <f t="shared" si="14"/>
        <v>2082</v>
      </c>
      <c r="Y20" s="78">
        <v>155</v>
      </c>
      <c r="Z20" s="78">
        <v>141</v>
      </c>
      <c r="AA20" s="78">
        <v>148</v>
      </c>
      <c r="AB20" s="78">
        <v>177</v>
      </c>
      <c r="AC20" s="78">
        <v>134</v>
      </c>
      <c r="AD20" s="78">
        <v>135</v>
      </c>
      <c r="AE20" s="78">
        <v>197</v>
      </c>
      <c r="AF20" s="78">
        <v>204</v>
      </c>
      <c r="AG20" s="78">
        <v>218</v>
      </c>
      <c r="AH20" s="78">
        <v>233</v>
      </c>
      <c r="AI20" s="78">
        <v>170</v>
      </c>
      <c r="AJ20" s="78">
        <v>170</v>
      </c>
      <c r="AK20" s="26"/>
      <c r="AL20" s="59">
        <v>45000</v>
      </c>
      <c r="AM20" s="59">
        <v>46057</v>
      </c>
      <c r="AN20" s="95">
        <f t="shared" si="15"/>
        <v>41443</v>
      </c>
      <c r="AO20" s="78">
        <v>3587</v>
      </c>
      <c r="AP20" s="78">
        <v>3139</v>
      </c>
      <c r="AQ20" s="78">
        <v>3479</v>
      </c>
      <c r="AR20" s="78">
        <v>3756</v>
      </c>
      <c r="AS20" s="78">
        <v>2994</v>
      </c>
      <c r="AT20" s="78">
        <v>3173</v>
      </c>
      <c r="AU20" s="56">
        <v>3056</v>
      </c>
      <c r="AV20" s="56">
        <v>2975</v>
      </c>
      <c r="AW20" s="56">
        <v>3835</v>
      </c>
      <c r="AX20" s="56">
        <v>4543</v>
      </c>
      <c r="AY20" s="56">
        <v>3453</v>
      </c>
      <c r="AZ20" s="56">
        <v>3453</v>
      </c>
      <c r="BA20" s="57">
        <f t="shared" si="12"/>
        <v>92.095555555555549</v>
      </c>
      <c r="BB20" s="78">
        <f>14484+1400+1400</f>
        <v>17284</v>
      </c>
      <c r="BC20" s="64">
        <f t="shared" si="1"/>
        <v>118.38356164383562</v>
      </c>
      <c r="BD20" s="65">
        <f t="shared" si="2"/>
        <v>131.5372907153729</v>
      </c>
      <c r="BE20" s="21">
        <f t="shared" si="4"/>
        <v>118.38356164383561</v>
      </c>
      <c r="BF20" s="21">
        <f t="shared" si="5"/>
        <v>131.5372907153729</v>
      </c>
    </row>
    <row r="21" spans="1:95" s="27" customFormat="1" ht="18.75" customHeight="1" x14ac:dyDescent="0.25">
      <c r="A21" s="13"/>
      <c r="B21" s="14" t="s">
        <v>41</v>
      </c>
      <c r="C21" s="69" t="s">
        <v>42</v>
      </c>
      <c r="D21" s="69"/>
      <c r="E21" s="69"/>
      <c r="F21" s="69"/>
      <c r="G21" s="66"/>
      <c r="H21" s="67"/>
      <c r="I21" s="67"/>
      <c r="J21" s="66"/>
      <c r="K21" s="69"/>
      <c r="L21" s="66"/>
      <c r="M21" s="67"/>
      <c r="N21" s="67"/>
      <c r="O21" s="70"/>
      <c r="P21" s="71"/>
      <c r="Q21" s="72"/>
      <c r="R21" s="68"/>
      <c r="S21" s="68"/>
      <c r="T21" s="70"/>
      <c r="U21" s="73"/>
      <c r="V21" s="15"/>
      <c r="W21" s="15"/>
    </row>
    <row r="22" spans="1:95" s="27" customFormat="1" ht="18.75" customHeight="1" x14ac:dyDescent="0.25">
      <c r="A22" s="13"/>
      <c r="B22" s="16"/>
      <c r="C22" s="74" t="s">
        <v>43</v>
      </c>
      <c r="D22" s="74"/>
      <c r="E22" s="74"/>
      <c r="F22" s="74"/>
      <c r="G22" s="66"/>
      <c r="H22" s="67"/>
      <c r="I22" s="67"/>
      <c r="J22" s="66"/>
      <c r="K22" s="74"/>
      <c r="L22" s="66"/>
      <c r="M22" s="67"/>
      <c r="N22" s="67"/>
      <c r="O22" s="70"/>
      <c r="P22" s="18"/>
      <c r="Q22" s="72"/>
      <c r="R22" s="68"/>
      <c r="S22" s="68"/>
      <c r="T22" s="70"/>
      <c r="U22" s="73"/>
      <c r="V22" s="15"/>
      <c r="W22" s="15"/>
    </row>
    <row r="23" spans="1:95" ht="33.75" customHeight="1" x14ac:dyDescent="0.4">
      <c r="A23" s="6"/>
      <c r="B23" s="6"/>
      <c r="C23" s="79" t="s">
        <v>56</v>
      </c>
      <c r="D23" s="79"/>
      <c r="E23" s="79"/>
      <c r="F23" s="79"/>
      <c r="G23" s="80"/>
      <c r="H23" s="81"/>
      <c r="I23" s="79"/>
      <c r="J23" s="82"/>
      <c r="K23" s="82"/>
      <c r="L23" s="82"/>
      <c r="M23" s="82"/>
      <c r="N23" s="82"/>
      <c r="O23" s="82"/>
      <c r="P23" s="83"/>
      <c r="Q23" s="83"/>
      <c r="R23" s="83"/>
      <c r="S23" s="83"/>
      <c r="T23" s="83"/>
      <c r="U23" s="83"/>
      <c r="V23" s="84"/>
      <c r="W23" s="85"/>
      <c r="X23" s="86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29"/>
      <c r="AL23" s="10"/>
      <c r="AM23" s="8"/>
      <c r="AN23" s="1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0"/>
      <c r="BB23" s="31"/>
      <c r="BC23" s="32"/>
      <c r="BD23" s="32"/>
      <c r="BE23" s="32"/>
      <c r="BF23" s="32"/>
    </row>
    <row r="24" spans="1:95" ht="21" customHeight="1" x14ac:dyDescent="0.25">
      <c r="A24" s="6"/>
      <c r="B24" s="6"/>
      <c r="C24" s="394"/>
      <c r="D24" s="394"/>
      <c r="E24" s="394"/>
      <c r="F24" s="394"/>
      <c r="G24" s="75"/>
      <c r="H24" s="17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9"/>
      <c r="W24" s="8"/>
      <c r="X24" s="1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9"/>
      <c r="AL24" s="10"/>
      <c r="AM24" s="8"/>
      <c r="AN24" s="1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30"/>
      <c r="BB24" s="31"/>
      <c r="BC24" s="32"/>
      <c r="BD24" s="32"/>
      <c r="BE24" s="32"/>
      <c r="BF24" s="32"/>
    </row>
    <row r="25" spans="1:95" ht="21" customHeight="1" x14ac:dyDescent="0.25">
      <c r="A25" s="6"/>
      <c r="B25" s="6"/>
      <c r="C25" s="385"/>
      <c r="D25" s="385"/>
      <c r="E25" s="385"/>
      <c r="F25" s="385"/>
      <c r="G25" s="8"/>
      <c r="H25" s="1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9"/>
      <c r="W25" s="8"/>
      <c r="X25" s="1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9"/>
      <c r="AL25" s="10"/>
      <c r="AM25" s="8"/>
      <c r="AN25" s="1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30"/>
      <c r="BB25" s="31"/>
      <c r="BC25" s="32"/>
      <c r="BD25" s="32"/>
      <c r="BE25" s="32"/>
      <c r="BF25" s="32"/>
    </row>
    <row r="26" spans="1:95" ht="21" customHeight="1" x14ac:dyDescent="0.25">
      <c r="A26" s="6"/>
      <c r="B26" s="6"/>
      <c r="C26" s="385"/>
      <c r="D26" s="385"/>
      <c r="E26" s="385"/>
      <c r="F26" s="385"/>
      <c r="G26" s="8"/>
      <c r="H26" s="1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9"/>
      <c r="W26" s="8"/>
      <c r="X26" s="1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/>
      <c r="AL26" s="10"/>
      <c r="AM26" s="8"/>
      <c r="AN26" s="1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30"/>
      <c r="BB26" s="31"/>
      <c r="BC26" s="32"/>
      <c r="BD26" s="32"/>
      <c r="BE26" s="32"/>
      <c r="BF26" s="32"/>
    </row>
    <row r="27" spans="1:95" ht="21" customHeight="1" x14ac:dyDescent="0.25">
      <c r="A27" s="6"/>
      <c r="B27" s="6"/>
      <c r="C27" s="8"/>
      <c r="D27" s="8"/>
      <c r="E27" s="8"/>
      <c r="F27" s="8"/>
      <c r="G27" s="8"/>
      <c r="H27" s="2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3"/>
      <c r="AL27" s="11"/>
      <c r="AM27" s="11"/>
      <c r="AN27" s="3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30"/>
      <c r="BB27" s="31"/>
      <c r="BC27" s="32"/>
      <c r="BD27" s="32"/>
      <c r="BE27" s="32"/>
      <c r="BF27" s="32"/>
    </row>
    <row r="28" spans="1:95" ht="21" customHeight="1" x14ac:dyDescent="0.25">
      <c r="A28" s="6"/>
      <c r="B28" s="6"/>
      <c r="C28" s="8"/>
      <c r="D28" s="8"/>
      <c r="E28" s="8"/>
      <c r="F28" s="8"/>
      <c r="G28" s="8"/>
      <c r="H28" s="2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3"/>
      <c r="AL28" s="11"/>
      <c r="AM28" s="11"/>
      <c r="AN28" s="3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30"/>
      <c r="BB28" s="31"/>
      <c r="BC28" s="32"/>
      <c r="BD28" s="32"/>
      <c r="BE28" s="32"/>
      <c r="BF28" s="32"/>
    </row>
    <row r="29" spans="1:95" ht="21" customHeight="1" x14ac:dyDescent="0.25">
      <c r="A29" s="6"/>
      <c r="B29" s="6"/>
      <c r="C29" s="385"/>
      <c r="D29" s="385"/>
      <c r="E29" s="385"/>
      <c r="F29" s="385"/>
      <c r="G29" s="8"/>
      <c r="H29" s="1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0"/>
      <c r="AL29" s="6"/>
      <c r="AM29" s="6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30"/>
      <c r="BB29" s="31"/>
      <c r="BC29" s="32"/>
      <c r="BD29" s="32"/>
      <c r="BE29" s="32"/>
      <c r="BF29" s="32"/>
    </row>
    <row r="30" spans="1:95" ht="21" customHeight="1" x14ac:dyDescent="0.25">
      <c r="A30" s="6"/>
      <c r="B30" s="6"/>
      <c r="C30" s="385"/>
      <c r="D30" s="385"/>
      <c r="E30" s="385"/>
      <c r="F30" s="385"/>
      <c r="G30" s="8"/>
      <c r="H30" s="1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0"/>
      <c r="AL30" s="6"/>
      <c r="AM30" s="6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30"/>
      <c r="BB30" s="31"/>
      <c r="BC30" s="32"/>
      <c r="BD30" s="32"/>
      <c r="BE30" s="32"/>
      <c r="BF30" s="32"/>
    </row>
    <row r="31" spans="1:95" ht="21" customHeight="1" x14ac:dyDescent="0.25">
      <c r="A31" s="6"/>
      <c r="B31" s="6"/>
      <c r="C31" s="385"/>
      <c r="D31" s="385"/>
      <c r="E31" s="385"/>
      <c r="F31" s="385"/>
      <c r="G31" s="8"/>
      <c r="H31" s="1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0"/>
      <c r="AL31" s="6"/>
      <c r="AM31" s="6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30"/>
      <c r="BB31" s="31"/>
      <c r="BC31" s="32"/>
      <c r="BD31" s="32"/>
      <c r="BE31" s="32"/>
      <c r="BF31" s="32"/>
    </row>
    <row r="32" spans="1:95" ht="21" customHeight="1" x14ac:dyDescent="0.25">
      <c r="A32" s="6"/>
      <c r="B32" s="6"/>
      <c r="C32" s="385"/>
      <c r="D32" s="385"/>
      <c r="E32" s="385"/>
      <c r="F32" s="385"/>
      <c r="G32" s="8"/>
      <c r="H32" s="1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0"/>
      <c r="AL32" s="6"/>
      <c r="AM32" s="6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30"/>
      <c r="BB32" s="31"/>
      <c r="BC32" s="32"/>
      <c r="BD32" s="32"/>
      <c r="BE32" s="32"/>
      <c r="BF32" s="32"/>
    </row>
    <row r="33" spans="1:58" ht="27" customHeight="1" x14ac:dyDescent="0.25">
      <c r="A33" s="6"/>
      <c r="B33" s="6"/>
      <c r="C33" s="389"/>
      <c r="D33" s="389"/>
      <c r="E33" s="389"/>
      <c r="F33" s="389"/>
      <c r="G33" s="12"/>
      <c r="H33" s="1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0"/>
      <c r="AL33" s="6"/>
      <c r="AM33" s="6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30"/>
      <c r="BB33" s="31"/>
      <c r="BC33" s="32"/>
      <c r="BD33" s="32"/>
      <c r="BE33" s="32"/>
      <c r="BF33" s="32"/>
    </row>
    <row r="34" spans="1:58" ht="27" customHeight="1" x14ac:dyDescent="0.25">
      <c r="A34" s="6"/>
      <c r="B34" s="6"/>
      <c r="C34" s="389"/>
      <c r="D34" s="389"/>
      <c r="E34" s="389"/>
      <c r="F34" s="389"/>
      <c r="G34" s="12"/>
      <c r="H34" s="1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0"/>
      <c r="AL34" s="6"/>
      <c r="AM34" s="6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30"/>
      <c r="BB34" s="31"/>
      <c r="BC34" s="32"/>
      <c r="BD34" s="32"/>
      <c r="BE34" s="32"/>
      <c r="BF34" s="32"/>
    </row>
    <row r="35" spans="1:58" ht="27" customHeight="1" x14ac:dyDescent="0.25">
      <c r="A35" s="6"/>
      <c r="B35" s="6"/>
      <c r="C35" s="6"/>
      <c r="D35" s="6"/>
      <c r="E35" s="6"/>
      <c r="F35" s="11"/>
      <c r="G35" s="11"/>
      <c r="H35" s="3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8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0"/>
      <c r="AL35" s="6"/>
      <c r="AM35" s="6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30"/>
      <c r="BB35" s="31"/>
      <c r="BC35" s="32"/>
      <c r="BD35" s="32"/>
      <c r="BE35" s="32"/>
      <c r="BF35" s="32"/>
    </row>
    <row r="36" spans="1:58" ht="27" customHeight="1" x14ac:dyDescent="0.25"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0"/>
      <c r="V36" s="6"/>
      <c r="W36" s="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0"/>
      <c r="AL36" s="6"/>
      <c r="AM36" s="6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30"/>
      <c r="BB36" s="31"/>
      <c r="BC36" s="32"/>
      <c r="BD36" s="32"/>
      <c r="BE36" s="32"/>
      <c r="BF36" s="32"/>
    </row>
    <row r="37" spans="1:58" ht="27" customHeight="1" x14ac:dyDescent="0.25">
      <c r="C37" s="6"/>
      <c r="D37" s="6"/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0"/>
      <c r="V37" s="6"/>
      <c r="W37" s="6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0"/>
      <c r="AL37" s="6"/>
      <c r="AM37" s="6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30"/>
      <c r="BB37" s="31"/>
      <c r="BC37" s="32"/>
      <c r="BD37" s="32"/>
      <c r="BE37" s="32"/>
      <c r="BF37" s="32"/>
    </row>
    <row r="38" spans="1:58" ht="27" customHeight="1" x14ac:dyDescent="0.25">
      <c r="C38" s="6"/>
      <c r="D38" s="6"/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0"/>
      <c r="V38" s="6"/>
      <c r="W38" s="6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0"/>
      <c r="AL38" s="6"/>
      <c r="AM38" s="6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30"/>
      <c r="BB38" s="31"/>
      <c r="BC38" s="32"/>
      <c r="BD38" s="32"/>
      <c r="BE38" s="32"/>
      <c r="BF38" s="32"/>
    </row>
    <row r="39" spans="1:58" ht="27" customHeight="1" x14ac:dyDescent="0.25">
      <c r="C39" s="6"/>
      <c r="D39" s="6"/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0"/>
      <c r="V39" s="6"/>
      <c r="W39" s="6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0"/>
      <c r="AL39" s="6"/>
      <c r="AM39" s="6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30"/>
      <c r="BB39" s="31"/>
      <c r="BC39" s="32"/>
      <c r="BD39" s="32"/>
      <c r="BE39" s="32"/>
      <c r="BF39" s="32"/>
    </row>
    <row r="40" spans="1:58" ht="15.75" x14ac:dyDescent="0.25">
      <c r="C40" s="6"/>
      <c r="D40" s="6"/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0"/>
      <c r="V40" s="6"/>
      <c r="W40" s="6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0"/>
      <c r="AL40" s="6"/>
      <c r="AM40" s="6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30"/>
      <c r="BB40" s="31"/>
      <c r="BC40" s="32"/>
      <c r="BD40" s="32"/>
      <c r="BE40" s="32"/>
      <c r="BF40" s="32"/>
    </row>
    <row r="41" spans="1:58" ht="15.75" x14ac:dyDescent="0.25">
      <c r="C41" s="6"/>
      <c r="D41" s="6"/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0"/>
      <c r="V41" s="6"/>
      <c r="W41" s="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0"/>
      <c r="AL41" s="6"/>
      <c r="AM41" s="6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30"/>
      <c r="BB41" s="31"/>
      <c r="BC41" s="32"/>
      <c r="BD41" s="32"/>
      <c r="BE41" s="32"/>
      <c r="BF41" s="32"/>
    </row>
  </sheetData>
  <mergeCells count="61">
    <mergeCell ref="A1:BC1"/>
    <mergeCell ref="A2:BC2"/>
    <mergeCell ref="A3:A6"/>
    <mergeCell ref="B3:B6"/>
    <mergeCell ref="C3:E4"/>
    <mergeCell ref="X5:X6"/>
    <mergeCell ref="Y5:AJ5"/>
    <mergeCell ref="AK5:AK6"/>
    <mergeCell ref="AO5:AZ5"/>
    <mergeCell ref="BA5:BA6"/>
    <mergeCell ref="BC3:BD5"/>
    <mergeCell ref="H5:H6"/>
    <mergeCell ref="I5:T5"/>
    <mergeCell ref="C5:C6"/>
    <mergeCell ref="D5:D6"/>
    <mergeCell ref="E5:E6"/>
    <mergeCell ref="I25:U25"/>
    <mergeCell ref="AL4:BA4"/>
    <mergeCell ref="F3:BA3"/>
    <mergeCell ref="BB3:BB6"/>
    <mergeCell ref="AL5:AL6"/>
    <mergeCell ref="AM5:AM6"/>
    <mergeCell ref="AN5:AN6"/>
    <mergeCell ref="F5:F6"/>
    <mergeCell ref="G5:G6"/>
    <mergeCell ref="F4:U4"/>
    <mergeCell ref="V4:AK4"/>
    <mergeCell ref="C24:F24"/>
    <mergeCell ref="I24:U24"/>
    <mergeCell ref="U5:U6"/>
    <mergeCell ref="V5:V6"/>
    <mergeCell ref="C30:F30"/>
    <mergeCell ref="I30:U30"/>
    <mergeCell ref="V30:AJ30"/>
    <mergeCell ref="BE3:BE6"/>
    <mergeCell ref="BF3:BF6"/>
    <mergeCell ref="I28:U28"/>
    <mergeCell ref="V28:AJ28"/>
    <mergeCell ref="C29:F29"/>
    <mergeCell ref="I29:U29"/>
    <mergeCell ref="V29:AJ29"/>
    <mergeCell ref="W5:W6"/>
    <mergeCell ref="C26:F26"/>
    <mergeCell ref="I26:U26"/>
    <mergeCell ref="I27:U27"/>
    <mergeCell ref="V27:AJ27"/>
    <mergeCell ref="C25:F25"/>
    <mergeCell ref="I35:U35"/>
    <mergeCell ref="V35:AJ35"/>
    <mergeCell ref="C33:F33"/>
    <mergeCell ref="I33:U33"/>
    <mergeCell ref="V33:AJ33"/>
    <mergeCell ref="C34:F34"/>
    <mergeCell ref="I34:U34"/>
    <mergeCell ref="V34:AJ34"/>
    <mergeCell ref="C31:F31"/>
    <mergeCell ref="I31:U31"/>
    <mergeCell ref="V31:AJ31"/>
    <mergeCell ref="C32:F32"/>
    <mergeCell ref="I32:U32"/>
    <mergeCell ref="V32:AJ3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Chi tieu </vt:lpstr>
      <vt:lpstr>KCB chung</vt:lpstr>
      <vt:lpstr>KCB người nghèo</vt:lpstr>
      <vt:lpstr>KCB TE &lt; 6 tuổi</vt:lpstr>
      <vt:lpstr>Ước 12 tháng (ước t11,t12)</vt:lpstr>
    </vt:vector>
  </TitlesOfParts>
  <Company>&lt;egyptian hak&gt;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2023-07-14T01:50:49Z</cp:lastPrinted>
  <dcterms:created xsi:type="dcterms:W3CDTF">2013-03-01T00:44:12Z</dcterms:created>
  <dcterms:modified xsi:type="dcterms:W3CDTF">2023-07-14T01:52:07Z</dcterms:modified>
</cp:coreProperties>
</file>